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19200" windowHeight="11640" tabRatio="826" activeTab="2"/>
  </bookViews>
  <sheets>
    <sheet name="REKAPITULACIJA" sheetId="1" r:id="rId1"/>
    <sheet name="SPLOŠNO" sheetId="23" r:id="rId2"/>
    <sheet name="RUŠITVENA DELA" sheetId="2" r:id="rId3"/>
    <sheet name="Rupitvena dela izračuni" sheetId="16" state="hidden" r:id="rId4"/>
    <sheet name="ZIDARSKA DELA" sheetId="3" r:id="rId5"/>
    <sheet name="IZRACUNI ZIDARSKA" sheetId="17" state="hidden" r:id="rId6"/>
    <sheet name="STAVBNO POHIŠTVO" sheetId="4" r:id="rId7"/>
    <sheet name="SUHO MONTAŽNA DELA" sheetId="5" r:id="rId8"/>
    <sheet name="Suho izračuni" sheetId="21" state="hidden" r:id="rId9"/>
    <sheet name="STEKLARSKA DELA" sheetId="11" r:id="rId10"/>
    <sheet name="KERAMIČARSKA DELA" sheetId="6" r:id="rId11"/>
    <sheet name="izračuni keramika" sheetId="20" state="hidden" r:id="rId12"/>
    <sheet name="TLAKARSKA DELA" sheetId="7" r:id="rId13"/>
    <sheet name="izračun tlakarska" sheetId="19" state="hidden" r:id="rId14"/>
    <sheet name="slikoplesk izracuni" sheetId="22" state="hidden" r:id="rId15"/>
    <sheet name="SLIKOPLESKARSKA DELA" sheetId="8" r:id="rId16"/>
    <sheet name="Izracuni fasaderska dela" sheetId="24" state="hidden" r:id="rId17"/>
    <sheet name="DVIGALO" sheetId="14" r:id="rId18"/>
    <sheet name="RAZNO" sheetId="25" r:id="rId19"/>
  </sheets>
  <definedNames>
    <definedName name="_xlnm.Print_Area" localSheetId="6">'STAVBNO POHIŠTVO'!$A$1:$F$58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6" l="1"/>
  <c r="F4" i="25"/>
  <c r="C26" i="1" l="1"/>
  <c r="C25" i="1"/>
  <c r="C24" i="1"/>
  <c r="C23" i="1"/>
  <c r="C22" i="1"/>
  <c r="C21" i="1"/>
  <c r="C20" i="1"/>
  <c r="C16" i="1"/>
  <c r="F32" i="3"/>
  <c r="F23" i="5"/>
  <c r="F11" i="11"/>
  <c r="F14" i="7"/>
  <c r="F21" i="5"/>
  <c r="F52" i="4" l="1"/>
  <c r="F47" i="4"/>
  <c r="F49" i="4"/>
  <c r="F45" i="4"/>
  <c r="F14" i="3"/>
  <c r="F41" i="2"/>
  <c r="F40" i="2"/>
  <c r="F39" i="2"/>
  <c r="F38" i="2"/>
  <c r="F37" i="2"/>
  <c r="F36" i="2"/>
  <c r="F9" i="2"/>
  <c r="F8" i="7" l="1"/>
  <c r="F9" i="7"/>
  <c r="F10" i="7"/>
  <c r="F11" i="7"/>
  <c r="F12" i="7"/>
  <c r="F7" i="7"/>
  <c r="F15" i="6"/>
  <c r="F10" i="5"/>
  <c r="F11" i="5"/>
  <c r="F12" i="5"/>
  <c r="F13" i="5"/>
  <c r="F14" i="5"/>
  <c r="F15" i="5"/>
  <c r="F16" i="5"/>
  <c r="F17" i="5"/>
  <c r="F18" i="5"/>
  <c r="F19" i="5"/>
  <c r="F20" i="5"/>
  <c r="F8" i="4"/>
  <c r="F58" i="4" s="1"/>
  <c r="F9" i="4"/>
  <c r="F12" i="4"/>
  <c r="F21" i="4"/>
  <c r="F31" i="4"/>
  <c r="F11" i="3"/>
  <c r="F12" i="3"/>
  <c r="F13" i="3"/>
  <c r="F15" i="3"/>
  <c r="F16" i="3"/>
  <c r="F17" i="3"/>
  <c r="F18" i="3"/>
  <c r="F19" i="3"/>
  <c r="F20" i="3"/>
  <c r="F21" i="3"/>
  <c r="F22" i="3"/>
  <c r="F23" i="3"/>
  <c r="F24" i="3"/>
  <c r="F25" i="3"/>
  <c r="F26" i="3"/>
  <c r="F27" i="3"/>
  <c r="F28" i="3"/>
  <c r="F29" i="3"/>
  <c r="F30" i="3"/>
  <c r="F10" i="2"/>
  <c r="F11" i="2"/>
  <c r="F12" i="2"/>
  <c r="F13" i="2"/>
  <c r="F14" i="2"/>
  <c r="F15" i="2"/>
  <c r="F16" i="2"/>
  <c r="F17" i="2"/>
  <c r="F18" i="2"/>
  <c r="F19" i="2"/>
  <c r="F20" i="2"/>
  <c r="F21" i="2"/>
  <c r="F22" i="2"/>
  <c r="F23" i="2"/>
  <c r="F24" i="2"/>
  <c r="F25" i="2"/>
  <c r="F26" i="2"/>
  <c r="F27" i="2"/>
  <c r="F28" i="2"/>
  <c r="F29" i="2"/>
  <c r="F30" i="2"/>
  <c r="F31" i="2"/>
  <c r="F32" i="2"/>
  <c r="F33" i="2"/>
  <c r="F34" i="2"/>
  <c r="F35" i="2"/>
  <c r="F42" i="2" l="1"/>
  <c r="C15" i="1" s="1"/>
  <c r="C13" i="1" s="1"/>
  <c r="F9" i="11"/>
  <c r="F3" i="14" l="1"/>
  <c r="F5" i="14" s="1"/>
  <c r="F3" i="25" l="1"/>
  <c r="F6" i="25" l="1"/>
  <c r="C27" i="1" s="1"/>
  <c r="C18" i="1" s="1"/>
  <c r="C30" i="1" s="1"/>
  <c r="F9" i="6"/>
  <c r="E18" i="20"/>
  <c r="E9" i="20"/>
  <c r="E10" i="20"/>
  <c r="E11" i="20"/>
  <c r="E12" i="20"/>
  <c r="E13" i="20"/>
  <c r="E14" i="20"/>
  <c r="E15" i="20"/>
  <c r="E16" i="20"/>
  <c r="E17" i="20"/>
  <c r="E4" i="20"/>
  <c r="E5" i="20"/>
  <c r="E6" i="20"/>
  <c r="E7" i="20"/>
  <c r="E8" i="20"/>
  <c r="E3" i="20"/>
  <c r="E2" i="20"/>
  <c r="F22" i="6"/>
  <c r="F9" i="5"/>
  <c r="F5" i="8"/>
  <c r="E3" i="22"/>
  <c r="F8" i="8"/>
  <c r="F7" i="8"/>
  <c r="F6" i="8"/>
  <c r="C21" i="22"/>
  <c r="C20" i="22"/>
  <c r="C19" i="22"/>
  <c r="C9" i="22"/>
  <c r="C5" i="22"/>
  <c r="C6" i="22"/>
  <c r="C7" i="22"/>
  <c r="C8" i="22"/>
  <c r="C10" i="22"/>
  <c r="C11" i="22"/>
  <c r="C12" i="22"/>
  <c r="C13" i="22"/>
  <c r="C14" i="22"/>
  <c r="C15" i="22"/>
  <c r="C16" i="22"/>
  <c r="C17" i="22"/>
  <c r="C18" i="22"/>
  <c r="C4" i="22"/>
  <c r="C3" i="22"/>
  <c r="F10" i="4"/>
  <c r="F11" i="4"/>
  <c r="F43" i="4"/>
  <c r="F44" i="4"/>
  <c r="F55" i="4"/>
  <c r="F56" i="4"/>
  <c r="F10" i="8" l="1"/>
  <c r="C7" i="24" l="1"/>
  <c r="B7" i="24"/>
  <c r="B6" i="24"/>
  <c r="B5" i="24"/>
  <c r="B2" i="24"/>
  <c r="B4" i="24"/>
  <c r="B3" i="24"/>
  <c r="L32" i="17" l="1"/>
  <c r="L31" i="17"/>
  <c r="L30" i="17"/>
  <c r="L29" i="17"/>
  <c r="L11" i="17"/>
  <c r="L12" i="17"/>
  <c r="L13" i="17"/>
  <c r="L14" i="17"/>
  <c r="L15" i="17"/>
  <c r="L16" i="17"/>
  <c r="L17" i="17"/>
  <c r="L18" i="17"/>
  <c r="L19" i="17"/>
  <c r="L20" i="17"/>
  <c r="L21" i="17"/>
  <c r="L22" i="17"/>
  <c r="L23" i="17"/>
  <c r="L24" i="17"/>
  <c r="L25" i="17"/>
  <c r="L26" i="17"/>
  <c r="L10" i="17"/>
  <c r="K29" i="17"/>
  <c r="K25" i="17"/>
  <c r="J25" i="17"/>
  <c r="I32" i="17"/>
  <c r="H2" i="17" l="1"/>
  <c r="H3" i="17" s="1"/>
  <c r="I3" i="17" s="1"/>
  <c r="E13" i="17"/>
  <c r="E14" i="17"/>
  <c r="E15" i="17"/>
  <c r="E16" i="17"/>
  <c r="E17" i="17"/>
  <c r="E18" i="17"/>
  <c r="E19" i="17"/>
  <c r="E20" i="17"/>
  <c r="E21" i="17"/>
  <c r="E22" i="17"/>
  <c r="E23" i="17"/>
  <c r="E24" i="17"/>
  <c r="B2" i="17"/>
  <c r="B25" i="17" s="1"/>
  <c r="E12" i="17"/>
  <c r="E7" i="17"/>
  <c r="E8" i="17"/>
  <c r="E9" i="17"/>
  <c r="E10" i="17"/>
  <c r="E11" i="17"/>
  <c r="E6" i="17"/>
  <c r="E25" i="17" s="1"/>
  <c r="F25" i="17" s="1"/>
  <c r="F10" i="3"/>
  <c r="J25" i="16"/>
  <c r="J24" i="16"/>
  <c r="I23" i="16"/>
  <c r="I22" i="16"/>
  <c r="I21" i="16"/>
  <c r="I20" i="16"/>
  <c r="H24" i="16"/>
  <c r="H26" i="16" s="1"/>
  <c r="M29" i="16"/>
  <c r="M28" i="16"/>
  <c r="M27" i="16"/>
  <c r="M26" i="16"/>
  <c r="N12" i="16"/>
  <c r="N13" i="16"/>
  <c r="N14" i="16"/>
  <c r="N15" i="16"/>
  <c r="N16" i="16"/>
  <c r="N17" i="16"/>
  <c r="N18" i="16"/>
  <c r="N11" i="16"/>
  <c r="N7" i="16"/>
  <c r="N6" i="16"/>
  <c r="N5" i="16"/>
  <c r="N4" i="16"/>
  <c r="N10" i="16"/>
  <c r="N8" i="16"/>
  <c r="N3" i="16"/>
  <c r="N2" i="16"/>
  <c r="B22" i="16"/>
  <c r="B26" i="17" l="1"/>
  <c r="N22" i="16"/>
  <c r="C27" i="17" l="1"/>
  <c r="H24" i="20" l="1"/>
  <c r="G24" i="20"/>
  <c r="G23" i="20"/>
  <c r="G22" i="20"/>
  <c r="G21" i="20"/>
  <c r="G20" i="20"/>
  <c r="G18" i="20"/>
  <c r="G17" i="20"/>
  <c r="G14" i="20"/>
  <c r="G3" i="20"/>
  <c r="G4" i="20"/>
  <c r="G5" i="20"/>
  <c r="G6" i="20"/>
  <c r="G7" i="20"/>
  <c r="G8" i="20"/>
  <c r="G9" i="20"/>
  <c r="G10" i="20"/>
  <c r="G11" i="20"/>
  <c r="G12" i="20"/>
  <c r="G13" i="20"/>
  <c r="G2" i="20"/>
  <c r="C21" i="19" l="1"/>
  <c r="C20" i="19"/>
  <c r="C6" i="19"/>
  <c r="C5" i="19"/>
  <c r="C4" i="19"/>
  <c r="C3" i="19"/>
  <c r="C1" i="19"/>
  <c r="C17" i="19"/>
  <c r="C16" i="19"/>
  <c r="C8" i="19"/>
  <c r="C9" i="19"/>
  <c r="C10" i="19"/>
  <c r="C11" i="19"/>
  <c r="C12" i="19"/>
  <c r="C13" i="19"/>
  <c r="C14" i="19"/>
  <c r="C15" i="19"/>
  <c r="C18" i="19"/>
  <c r="C19" i="19"/>
  <c r="C7" i="19"/>
  <c r="B15" i="20"/>
  <c r="B21" i="19"/>
</calcChain>
</file>

<file path=xl/comments1.xml><?xml version="1.0" encoding="utf-8"?>
<comments xmlns="http://schemas.openxmlformats.org/spreadsheetml/2006/main">
  <authors>
    <author>Avtor</author>
  </authors>
  <commentList>
    <comment ref="B31" authorId="0" shapeId="0">
      <text>
        <r>
          <rPr>
            <sz val="8"/>
            <color indexed="81"/>
            <rFont val="Tahoma"/>
            <family val="2"/>
            <charset val="238"/>
          </rPr>
          <t>opis dela oziroma dobave</t>
        </r>
      </text>
    </comment>
  </commentList>
</comments>
</file>

<file path=xl/sharedStrings.xml><?xml version="1.0" encoding="utf-8"?>
<sst xmlns="http://schemas.openxmlformats.org/spreadsheetml/2006/main" count="623" uniqueCount="319">
  <si>
    <t>RUŠITVENA DELA</t>
  </si>
  <si>
    <t>Enota</t>
  </si>
  <si>
    <t>Količina</t>
  </si>
  <si>
    <t>Skupaj</t>
  </si>
  <si>
    <t>Cena/Enoto</t>
  </si>
  <si>
    <t>Splošna navodila</t>
  </si>
  <si>
    <t>V ceno vključiti zaščito objekta in opreme pred prahom in umazanijo.</t>
  </si>
  <si>
    <t>Upoštevati je potrebno morebitne posebne zahteve doma glede na izvajanje del(hrup, itd.)</t>
  </si>
  <si>
    <t>kpl</t>
  </si>
  <si>
    <t>m2</t>
  </si>
  <si>
    <t>kos</t>
  </si>
  <si>
    <t>SKUPAJ</t>
  </si>
  <si>
    <t>ZIDARSKA DELA</t>
  </si>
  <si>
    <t>Razna režijska dela, obračunana po dejanskih stroških v skladu z vpisom v gradbeni dnevnik in pomoč obrtnikom;</t>
  </si>
  <si>
    <t>KV URE</t>
  </si>
  <si>
    <t>ur</t>
  </si>
  <si>
    <t>PK URE</t>
  </si>
  <si>
    <t>V ceni vseh postavk zajeti vsa dela, vse prenose in prevoze na gradbišču, ves osnovni, pomožni, tesnilni in sidrni material po opisihv postavkah in po tehničnem opisu, vse za gotove vgrajene finalno obdelane elemente. Vse mere je potrebno preveriti na licu mesta. V ceni je potrebno zajeti vse eventualne potrebne slepe okvirje in kovinsko podkonstrukcijo za vgradnjo elementov. Izvajalec je dolžan predložiti vzorce vgrajenih finalno obdelanih elementov v pisno potrditev projektantu, kot tudi izdelati vse izvedbene detajle in jih dati v pisno potrditev projektantu.</t>
  </si>
  <si>
    <t>STAVBNO POHIŠTVO</t>
  </si>
  <si>
    <t>MONTAŽNE STENE</t>
  </si>
  <si>
    <t>V ceni so zajeti vsi stroški prenosa in transporta materiala.</t>
  </si>
  <si>
    <t>V ceni vseh postavk so zajeta vsa dela, ves osnovni in pomožni material ter vsi prenosi. Kovinska podkonstrukcija iz profilov iz pocinkane jeklene pločevina je togo pritrjena. Vsi pritrdilni materiali kot npr. vijaki, žeblji in podobno morajo biti pocinkani ali fosforizirani. Pločevina za profile mora biti debela vsaj 0,6 mm. Na stikih s steno, stropom in tlemi je treba uporabiti tesnilni trak. Izolacijsko plast je treba položiti po celotni površini in mora biti zaščitena pred zdrsom. V ceni je zajeto bandažiranje in 1x glajenje stikov. Slikanje je zajeto pri slikopleskarskih delih. Dela je treba izvajati po določili veljavnih tehničnih predpisov in skladno z obveznimi standardi. Vse stene ki se oblagajo s stensko keramiko je potrebno izvesti z zgoščeno podkonstrukcijo in se jih pred polaganjem keramike premaže z ustreznim premazom, kar je vse zajeto v ceni.</t>
  </si>
  <si>
    <t>KERAMIČARSKA DELA</t>
  </si>
  <si>
    <t>V ceni vseh postavk zajeti vsa pomožna dela, vse prenose, ves pomožni material, fugiranje keramike s fugirno maso po izboru projektanta vse za gotove položene elemente. Ob ponudbi navesti nabavno ceno materiala, keramika I. kvalitete. Dela je treba izvajati po določilih veljavnih tehničnih predpisov in skladno z obveznimi standardi.</t>
  </si>
  <si>
    <t xml:space="preserve"> - polaganje v cementno lepilo v sloju debeline 5mm razreda C251 po EN 12004 (kot npr. KERAFLEX MAXI), izrezovanje ploščic </t>
  </si>
  <si>
    <t xml:space="preserve"> - izrezovanje ploščic za preboje inštalacijskih elementov in okoli vratne odprtine</t>
  </si>
  <si>
    <t xml:space="preserve"> - fugiranje stikov  z fugirno maso ki je usklajena z barvo keramičnih ploščic (kot npr. ULTRACOLOR PLUS), širino stikov določi projektant</t>
  </si>
  <si>
    <t xml:space="preserve"> - polaganje v prostorih do 5m2</t>
  </si>
  <si>
    <t>Keramične ploščice morajo biti enakih kalibrov in iste nianse v posameznem prostoru.</t>
  </si>
  <si>
    <t xml:space="preserve"> - priprava podlage</t>
  </si>
  <si>
    <t xml:space="preserve"> - polaganje v elastično lepilo odporno na vlago, kot npr. MAPEI ali enakovredno, sloj debeline 5 mm</t>
  </si>
  <si>
    <t xml:space="preserve"> - izrezovanje ploščic okoli inštalacij</t>
  </si>
  <si>
    <t>m1</t>
  </si>
  <si>
    <t>TLAKARSKA DELA</t>
  </si>
  <si>
    <t>V ceni vseh postavk zajeti vsa dela, vse prenose in prevoze na gradbišču, ves osnovni on pomožni material, po opisih in po tehničnem opisu, vse za gotove položene tlake. Pripravo podlage(estriha) za polaganje finalnih tlakov izvajalec je dolžan sam pripraviti. Obvezno je brušenje estrihov za čim manjšo uporabo izravnalnih mas. V kolikor podlaga ni dovolj izsušena, jo je izvajalec dolžan izsušiti. Na stikih različnih tlakov je potrebno vedno vgraditi delilni "dilatacijski" element, ki je lahko izveden kot trak ali kotnik v ALU ali Inox izvedbi. Dela je treba izvajati po določilih veljavnih tehničnih predpisov in skladno u obveznimi standardi.</t>
  </si>
  <si>
    <t>SLIKOPLESKARSKA DELA</t>
  </si>
  <si>
    <t>soba1</t>
  </si>
  <si>
    <t>soba2</t>
  </si>
  <si>
    <t>soba3</t>
  </si>
  <si>
    <t>soba4</t>
  </si>
  <si>
    <t>soba5</t>
  </si>
  <si>
    <t>soba6</t>
  </si>
  <si>
    <t>soba7</t>
  </si>
  <si>
    <t>soba8</t>
  </si>
  <si>
    <t>soba9</t>
  </si>
  <si>
    <t>soba10</t>
  </si>
  <si>
    <t>soba11</t>
  </si>
  <si>
    <t>soba12</t>
  </si>
  <si>
    <t>soba13</t>
  </si>
  <si>
    <t>soba14</t>
  </si>
  <si>
    <t>Dnevni prostor</t>
  </si>
  <si>
    <t>Delovna soba</t>
  </si>
  <si>
    <t>Rušenje stenske keramike</t>
  </si>
  <si>
    <t>Kopalnica ob delovni</t>
  </si>
  <si>
    <t>Izplakovalnica</t>
  </si>
  <si>
    <t>Skupna kopalnica desno</t>
  </si>
  <si>
    <t>Skupna majhna ob dvigalu</t>
  </si>
  <si>
    <t>Rušenje talnih ploščic</t>
  </si>
  <si>
    <t>Rušenje opecene stene</t>
  </si>
  <si>
    <t xml:space="preserve"> V ceni morajo biti upoštevani vsi stroški pripravljalnih (vključno z usklajevanjem z ostalimi izvajalci na objektu) ter vse transportne, stroške prenosa materiala, zavarovalne in ostale splošne stroške. </t>
  </si>
  <si>
    <t>Pri rušitvenih delih se ne sme poškodovati konstrukcije objekta in oprema. Odstranjeni material je potrebno odpeljati na ustrezno deponijo skladno z odredbo o ravnanju z gradbenimi odpadki. Cena mora zajemati vse stroške dela, prenosa materiala, transporta, deponiranja, plačila takse. Izvajalec zagotavlja sprotno čiščenje prostorov.</t>
  </si>
  <si>
    <t xml:space="preserve">V ceni vseh postavk zajeti vsa dela, vse prenose in prevoze na gradbišču, ves osnovni, pomožni, tesnilni in sidrni material po opisihv postavkah in po tehničnem opisu.. Vse mere je potrebno preveriti na licu mesta. </t>
  </si>
  <si>
    <t>Radijatorji</t>
  </si>
  <si>
    <t>Sobe</t>
  </si>
  <si>
    <t>hodniki</t>
  </si>
  <si>
    <t>Leseni strop</t>
  </si>
  <si>
    <t>hodnik 1</t>
  </si>
  <si>
    <t>Apartma</t>
  </si>
  <si>
    <t>Kopalnica</t>
  </si>
  <si>
    <t>Wc za zaposlene</t>
  </si>
  <si>
    <t>Wc za obiskovalce</t>
  </si>
  <si>
    <t>Cena mora zajemati vse stroške dela, prenosa materiala, transporta, deponiranja in plačilo taks. Izvajalec zagotavlja sprotno čiščenje prostorov.</t>
  </si>
  <si>
    <t xml:space="preserve">Nabava, dobava in vgradnja varnostnega kaljenega stekla, mat izvedba, 2x6mm, izdelava lukenj in pritrditev na nove kovinske profile. V ceno je vključeno tudi nabava, dobava in vgradnja predvidenega sistema za pritrditev stekla. (vključen vse pomožni in pritrdilni material in nosilni stebri, ki se sidraju v balkonsko betonsko ploščo). </t>
  </si>
  <si>
    <t>DVIGALO</t>
  </si>
  <si>
    <t xml:space="preserve">Dobava in vgradnja ločitvenega profila na stiku drsnih vrat in končnega tlaka pvc. </t>
  </si>
  <si>
    <t>hodnik1</t>
  </si>
  <si>
    <t>hodnik2</t>
  </si>
  <si>
    <t>hodnik3</t>
  </si>
  <si>
    <t>hodnik4</t>
  </si>
  <si>
    <t>dnevni prostor</t>
  </si>
  <si>
    <t>skladišče</t>
  </si>
  <si>
    <t>Splakovlanica</t>
  </si>
  <si>
    <t>Kopalnica dvigalo</t>
  </si>
  <si>
    <t xml:space="preserve">Talna keramika </t>
  </si>
  <si>
    <t>Skupna kopalnica</t>
  </si>
  <si>
    <t xml:space="preserve">Izdelava plavajočega cementnega estrihav v ostalih prostori, stiropor deb. 4 cm, PVC folija parna zapora,mikroarmirani cementni estrih mikroarmirana PP vlakna 0,95kg/m3 (kot npr.FIBRILs F120) debeline 5 cm vključno s predhodnim čiščenjem podlage,robnim trakom 10cm, izdelavo dilatacij in vsemi pomožnimi deli. </t>
  </si>
  <si>
    <t>kopalnica</t>
  </si>
  <si>
    <t>apartma</t>
  </si>
  <si>
    <t xml:space="preserve">Dobava in vgradnja ločilnega Alu profila med keramiko in PVC oblogo. </t>
  </si>
  <si>
    <t>Stenska keramika</t>
  </si>
  <si>
    <t>Robovi</t>
  </si>
  <si>
    <t>Demontaža notranjega podboja dvigala in drsnih vrat. Pozicija dvigala se premakne za 3cm navzgor. Novi prag mora biti na enaki višini kot zaključni talni sloj v hodniku. Delo obsega izklop dvigala, rušenje materiala okoli podboja, demontažo podboja, dozidava betonskega praga pod dvigalom, montiranje podboja, centriranje dvigala na novo višino vstavljanja, testiranje delovanja dvigala in obdelava špalet okoli podboja dvigala. V ceno je vključen ves potreben materijal in stroški dela.</t>
  </si>
  <si>
    <t>Šteje se, da je izvajalec pred oddajo svoje ponudbe obiskal in natančno pregledal bodoče gradbišče in okolico, da se je seznanil z obstoječimi ureditvami, da je spoznal bistvene elemente, ki lahko vplivajo na organizacijo gradbišča, da je preizkusil in kontroliral vse obstoječe vire za oskrbo z materialom ter vse ostale okoliščine, ki lahko vplivajo na izvedbo del, da se je seznanil z vsemi predpisi in zakoni glede plačila taks, davkov, povračil-odškodnin za škodo povzročeno v času gradnje in ostalih dajatev v Republiki Sloveniji, da je v celoti proučil dokumentacijo o oddaji del ter da na podlagi vsega tega tudi oddal svojo ponudbo.</t>
  </si>
  <si>
    <t>Vse cene so fiksne oziroma nespremenljive do zaključka vseh del.</t>
  </si>
  <si>
    <t>Cene morajo biti izražene v EUR. Formirana mora biti s ponudbenim predračunom, sestavljenim na priloženih popisih, z vnosom ponudbenih cen na enoto (brez DDV), brez korektur popisov inkoličin.</t>
  </si>
  <si>
    <t>Pripravo dokumentacije o ustrezni montaži elementov ali naprav z zapisniki o kontroli električnih in cevnih povezav posamezne naprave ali zagonu naprav s strani za to pooblaščene organizacije ali proizvajalca, če je to potrebno.</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</si>
  <si>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</si>
  <si>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 xml:space="preserve">Izpiranje in čiščenje vseh cevnih instalacij. </t>
  </si>
  <si>
    <t>Tlačne, tesnostne in ostale potrebne preizkuse sistemov z zapisniki o izvedbah preizkusov, podpisanimi s strani nadzornega organa. V kolikor je za posamezno instalacijo potrebno pridobiti ustrezno dokumentacijo drugega podjetja (plin, vodovod), je potrebno upoštevati stroške nadzora s strani tega podjetja, naročilo preskusov in pridobitev dokumentacije o ustreznosti in uspešno opravljenih preizkusih.</t>
  </si>
  <si>
    <t xml:space="preserve">Ureguliranje vseh cevnih razvodov z nastavitvijo regulacijskih elementov na posameznem končnem elementu in v sistemu, izvedbo meritev pretokov ter pridobitev zapisnika o uravnovešenju cevnih sistemov. </t>
  </si>
  <si>
    <t>Zagon in kontrola posameznega sistema v celoti ter izdelava zapisnika o funkcionalnosti sistema.</t>
  </si>
  <si>
    <t xml:space="preserve">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 </t>
  </si>
  <si>
    <t>Izdelava funkcionalnih shem posameznih sistemov v okvirju, nameščena na steno v strojnici, skupaj z navodili za uporabo posameznega sistema.</t>
  </si>
  <si>
    <t xml:space="preserve">Priprava podrobnih navodil za obratovanje in vzdrževanje elementov in sistemov v objektu. Uvajanje upravljavca sistemov investitorja, poučevanja, šolanja ter pomoč v prvem letu obratovanja. </t>
  </si>
  <si>
    <t>Rušenje tlakov</t>
  </si>
  <si>
    <t>Kvadrature rusenje pvc</t>
  </si>
  <si>
    <t>soba15</t>
  </si>
  <si>
    <t>soba16</t>
  </si>
  <si>
    <t>soba17</t>
  </si>
  <si>
    <t>p7</t>
  </si>
  <si>
    <t>p3</t>
  </si>
  <si>
    <t>hodnik</t>
  </si>
  <si>
    <t>p5</t>
  </si>
  <si>
    <t>p1</t>
  </si>
  <si>
    <t>p8</t>
  </si>
  <si>
    <t>RUŠENJE DEBELE STENE</t>
  </si>
  <si>
    <t xml:space="preserve">Odbijanje betona s katerim so bili obbetonirani podboji. Ročno odstranjevanje armature rezanje armature in ročni iznost materiala na gradbiščno deponijo v kosih. </t>
  </si>
  <si>
    <t>Pažljivo rušenje sten ob inštalacijskih jaških. Pažljivo ročno rušenje.</t>
  </si>
  <si>
    <t>p6</t>
  </si>
  <si>
    <t>p2</t>
  </si>
  <si>
    <t>p4</t>
  </si>
  <si>
    <t>NOTER</t>
  </si>
  <si>
    <t>BALKONE</t>
  </si>
  <si>
    <t>stene</t>
  </si>
  <si>
    <t>sum</t>
  </si>
  <si>
    <t>Nabava, dobava in vgradnja granitne obloge  špalet. V ceni je vključeno poliranje in brušenje robov (npr. pohorski tonalit).</t>
  </si>
  <si>
    <t>hidroiz</t>
  </si>
  <si>
    <t>wc</t>
  </si>
  <si>
    <t>a</t>
  </si>
  <si>
    <t>b</t>
  </si>
  <si>
    <t>balkoni</t>
  </si>
  <si>
    <t>Ometavanje</t>
  </si>
  <si>
    <t>Estri ostalo</t>
  </si>
  <si>
    <t>čajna kuhinja</t>
  </si>
  <si>
    <r>
      <t xml:space="preserve">Nabava, dobava in vgradnja kovinskega podboja, svetla mera prehoda 100/200cm, z zaobljenimi robovi, pocinkan in prašno barvan, barva v RAL-u po izboru projektanta (kot npr. BOS). Nabava, dobava in vgradnja vratnega krila: leseno-polno iverokal, finalno obdelano z laminatom odpornim na obrabo in čiščenje, dimenzije 100x200cm. Barvo potrdi projektant. Ključavnica, kljuka in mehanizem za odpiranje v mat-inox izvedbi, tesnilo, nosilnost nasadil skladna s širino in težo vratnega krila. </t>
    </r>
    <r>
      <rPr>
        <b/>
        <sz val="11"/>
        <color indexed="8"/>
        <rFont val="Calibri"/>
        <family val="2"/>
        <charset val="238"/>
      </rPr>
      <t>Vratno krilo mora ustrezati protipožarnim zahtevam EI30.</t>
    </r>
  </si>
  <si>
    <t>Balkon</t>
  </si>
  <si>
    <t xml:space="preserve">Demontaža zastaklitev in vhodnih vrat uključeno s podbojem.Vrata velikosti 2.55x2.45m. Delo obsega tudi nalaganje in odvoz na deponijo. </t>
  </si>
  <si>
    <t>Demontaža in ponovna montaža okno v hodniku zaradi lažjega izvoza ruševin. V ceno je vključena tudi sanacija špalet in polic v prvotno stanje.</t>
  </si>
  <si>
    <t xml:space="preserve">Rušenje betonski estrih debeline do 8cm, vključno z keramiko in ostalimi sloji, do betonske plošče. Delo obsega tudi izravnavno sloja do ravne betonske plošče. V ceno je zajeto tudi nalaganje, transport in odvoz na deponijo. </t>
  </si>
  <si>
    <t>Demontaža okenskih polic različnih dimenzij. V ceno je vključeno tudi prenos, nakladanje in odvoz materiala na ustrezno deponijo.</t>
  </si>
  <si>
    <t xml:space="preserve">SKUPŠAJ RUŠITVENA DELA </t>
  </si>
  <si>
    <t>Izdelava utorov v AB stenah za inštalacije premerov 25x25mm  v betonskih stenah ter zametavanje reg po končani montaži z cementnim ometom in mrežico. Paziti da ne pride do poškodb armaturni palic.</t>
  </si>
  <si>
    <t>Izdelava utorov v opečnih stenah za inštalacije premerov 25x25mm  v betonskih stenah ter zametavanje reg po končani montaži z cementnim ometom in mrežico. Paziti da ne pride do poškodb armaturni palic.</t>
  </si>
  <si>
    <t>SKUPAJ ZIDARSKA DELA</t>
  </si>
  <si>
    <t>Izdelava, dobava in montaža kovinskih oprijemalnih ročajev na hodnikih iz cevi iz nerjavečega materila (inox) vključnos sidranim in pritrdilnim materialom. Montirano 90cm od tal.</t>
  </si>
  <si>
    <t>Montaža starih PVC vrata, v ceno je vključena montaža podboja in vratnega krila, ves pritrdilni material.</t>
  </si>
  <si>
    <t>SKUPAJ STAVBNO POHIŠTVO</t>
  </si>
  <si>
    <t>SKUPAJ STEKLARSKA DELA</t>
  </si>
  <si>
    <t>SKUPAJ TLAKARSKA DELA</t>
  </si>
  <si>
    <t>Bandažiranje knauf sten, obdelava stikov, izravnava stikov, obdelava stikov z obstoječo konstrkucijo, fino zagladiti, očistiti in impregnirati ter dvokratno poslikati s poldisperzijsko barvo. V ceno so zajeta vsa pripravljala dela.</t>
  </si>
  <si>
    <t>Bandažiranje mavčnih stropov obdelava stikov, izravnava stikov, fino zagladiti, očistiti in impregnirati ter dvokratno poslikati s poldisperzijsko barvo. V ceno so zajeta vsa pripravljala dela.</t>
  </si>
  <si>
    <t>Pleskanje sob sten</t>
  </si>
  <si>
    <t>skladisce</t>
  </si>
  <si>
    <t>cajna kuhinja</t>
  </si>
  <si>
    <t>SKUPAJ SLIKOPLESKARSKA DELA</t>
  </si>
  <si>
    <t>ometavanje pralnim baravama</t>
  </si>
  <si>
    <t xml:space="preserve">Dobava in montaža pregradne stene v kopalnicah. Debelina stene 10cm, višina stene do AB stropa, 250cm. Mavčno kartonske plošče debeline po 2x12.5mm pritrjene na nosilno pocinkano podkonstrukcijo.  Dodatni pocinkani profili za pritrjevanje drsnih vrat (kot tip W416 proizvajalca KNAUF varianta UA profil ali drugi z istimi karakteristikami. Vlago odporne mavčno kartonske plošče debeline 2x12.5mm , izolacijski sloj med ploščami debeline 5cm, izdelava odprtin za vgradnjo inštalacijskih elementov. V ceno uračnunano obdelava stikov in izravnava. </t>
  </si>
  <si>
    <t>Izdelava spuščenih stropov iz mavčno kartonskih plošč debeline 12.5mm s kovinsko podkonstrukcijo ini z vsemi izrezi za svetila in ostale elemente inštalacij. Obešanje do 5cm. V ceno vključeno bandažiranje in 1x glajenjem stikov, obdelavo vogalov, z vsemi pomožnimi deli, materiali in prenosi za gotove spuščene stropove, izdelava odprtin za luči.</t>
  </si>
  <si>
    <t>Dobava in montaža alu vogalnikov na izpostavljenih vogalih sten in M.K. skatel.</t>
  </si>
  <si>
    <t>SKUPAJ SUHO MONTAŽNA DELA</t>
  </si>
  <si>
    <t xml:space="preserve">Nabava, dobava in vgradnja stenskih keramičnih ploščic kopalnicah sobah dimenzije 18x36cm, I. kvalitete (kot npr.Marazzi, Covent Garden, MK8U in MK8V). V ceni je še zajeto: </t>
  </si>
  <si>
    <t xml:space="preserve">Nabava, dobava in vgradnja talnih keramičnih ploščic v kopalnicah sobah dimenzije 33x33cm, I. kvalitete (kot npr. BUCHTAL). V ceni je še zajeto: </t>
  </si>
  <si>
    <t>Nabava, dobava in vgradnja kotnih PVC zaokrožnic v sanitarnih prostorov, stik stena - tla, z vsemi pripadajočimi deli.</t>
  </si>
  <si>
    <t>SKUPAJ KERAMIČARSKA DELA</t>
  </si>
  <si>
    <t>RAZNA DELA</t>
  </si>
  <si>
    <t>Barvanje hidrantne omarice dimenzij 70x70x15cm.</t>
  </si>
  <si>
    <t>SKUPAJ RAZNA DELA</t>
  </si>
  <si>
    <t>STEKLARSKA DELA</t>
  </si>
  <si>
    <t>SKUPAJ DELA OKOLI DVIGALA</t>
  </si>
  <si>
    <t xml:space="preserve">GRADBENI OBJEKT: </t>
  </si>
  <si>
    <t>ADAPTACIJA PROSTOROV DSO BEŽIGRAD,                                                KOMANOVA ULICA 1,  1000 LJUBLJANA</t>
  </si>
  <si>
    <t>REKAPITULACIJA</t>
  </si>
  <si>
    <t>I.</t>
  </si>
  <si>
    <t>GRADBENA DELA</t>
  </si>
  <si>
    <t>I.1.</t>
  </si>
  <si>
    <t>I.2.</t>
  </si>
  <si>
    <t>II.</t>
  </si>
  <si>
    <t>OBRTNIŠKA DELA</t>
  </si>
  <si>
    <t>II.1.</t>
  </si>
  <si>
    <t>II.2.</t>
  </si>
  <si>
    <t>SUHO MONTAŽNA DELA</t>
  </si>
  <si>
    <t>II.3.</t>
  </si>
  <si>
    <t>II.4.</t>
  </si>
  <si>
    <t>II.5.</t>
  </si>
  <si>
    <t>II.6.</t>
  </si>
  <si>
    <t>II.7.</t>
  </si>
  <si>
    <t>RAZNO</t>
  </si>
  <si>
    <t>Rezanje in demontaža vodovodnih in kanalizacijskih cevi. V ceno je vključeno tudi prenos, nakladanje in odvoz materiala na ustrezno deponijo iz vseh prostorov.</t>
  </si>
  <si>
    <t xml:space="preserve">SPLOŠNO O CENI ZA MERSKO ENOTO POSAMEZNE POSTAVKE </t>
  </si>
  <si>
    <t xml:space="preserve"> - v ceni morajo biti zajeti vsi potrebni stroški:</t>
  </si>
  <si>
    <t>za kompletno organizacijo gradbišča, skladno z varnostnim načrtom</t>
  </si>
  <si>
    <t>Izvajanje geodetskih strotiev med samo gradnjo, ki vsebujejo : zakoličba osi stavbe, podajanje višin, kontrola vertikalnosti konstrkucije, ustreznih naklonov ipd., postavitev gradbenih profilov, zaščita zakoličbe, vse za ves čas gradnje in za vsa dela</t>
  </si>
  <si>
    <t>za izdelavo, dobavo in vgradnjo (montažo)</t>
  </si>
  <si>
    <t>Za nabavo in dobavo osnovnega, pomožnega, pritrdilnega, tesnilnega materila za izvedbo posamezne postavke iz popisa</t>
  </si>
  <si>
    <t>za vse zunanje in notranje transporte (horizontalne in vertikalne) potrebnega materila, delavne sile, orodja, delavnih strojev oz. naprav do mesta vgradnje</t>
  </si>
  <si>
    <t>za premične delovne odre za dela do višine 4m in lovilne odre za izvedbo posameznih del - razen delovnih in fasadnih odrov, ki so posebej prikazani v popisu</t>
  </si>
  <si>
    <t>za izpolnitev obvez izvajalca glede varstva pri delu na premičnih deloviščih (gradbišču)</t>
  </si>
  <si>
    <t>za izdelavo vseh vzorcev na zahtevo projektanta</t>
  </si>
  <si>
    <t>za finalno čiščenje celotnega objekta in gradbišča, pred predajo naročniku</t>
  </si>
  <si>
    <t>Dimenzije - mere in količine je potrebno pred izdleavo oziroma naročanjem preveriti po zadnjih veljavnih PZI projektih ter kontrolirati mere na licu mesta.</t>
  </si>
  <si>
    <t>V kolikor v projektni dokumentaciji ni detajla za določeno vrsto del, je predlog detajla dolžen izdelati ponudnik . Izvajalec in ga predložiti odgovornemu projektantu v potrditev.</t>
  </si>
  <si>
    <t>Vse vzorce mora izvajelc pred izvedbo predati v potrditev projektantnu</t>
  </si>
  <si>
    <t>Odvoz odpadnega materiala se izvrši v skladu z veljavno zakonodajo, na javne deponije odpadnega materiala, katere imajo upravna dovoljenja za deponiranje posameznih vrst materiala.</t>
  </si>
  <si>
    <t>Ponudnik sam izbere lokacije in deponij in v ceniah upošteva vse stroške depnoniranja in transporta, vključno z taksami.</t>
  </si>
  <si>
    <t>INVESTITOR:</t>
  </si>
  <si>
    <t>Dom starejših občanov Ljubljana Bežigrad</t>
  </si>
  <si>
    <t>ID za DDV za kupca: SI18613691</t>
  </si>
  <si>
    <t>Rušenje predelne opečne stene debeline do 15cm, prenos, nakladanje in odvoz odpadnega materiala na ustrezno deponijo.</t>
  </si>
  <si>
    <t>SPLOŠNO</t>
  </si>
  <si>
    <t>Vsa dela morajo biti izvedena kvalitetno iz materialov z zahtevanimi fizikalnimi lasnostmi in jih je potrebno izvajati po predloženi tehnični dokumentaciji, detajlih ter navodilih arhitekta oziroma izbranega proizvajalca</t>
  </si>
  <si>
    <t>Izvajalec skrbi za koordinacijo izvajalca do svojih podizvajalcev, dobaviteljev in kooperantov, ki sodelujejo pri predmetni gradnji oz. izvedbi del</t>
  </si>
  <si>
    <t>Vsi vgrajeni materiali in proizvodi morajo imeti ustrezan atest oz. certifikat ter naj odgovarjajo cenovnem razredu, skladno z zahtevami investitorja.</t>
  </si>
  <si>
    <t>Izvajalec je dolžan na svoje stroške zagotoviti ustrezne klimatske pogoje za izvajanje del, ter z njimi omogočiti pogodbene obveznosti v pogodbenih rokih.</t>
  </si>
  <si>
    <t xml:space="preserve">Vse delavnihške načrte mora izvajelc ored izvedbo predati v potrditev projektantu </t>
  </si>
  <si>
    <t>V času gradnje izvajalec priskrbi izvajanje geodetskih strotiev med samo gradnjo, ki vsebujejo : zakoličba osi stavbe, podajanje višin, kontrola vertikalnosti konstrkucije, ustreznih naklonov ipd., postavitev gradbenih profilov, zaščita zakoličbe.</t>
  </si>
  <si>
    <t>Izvajalec izvedeo 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</si>
  <si>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Izvajalec skrbi za zaščito vgrajenega materiala na objektu proti poškodbam nastalim zaradi izvajanja gradbenih ali ostalih del po vgradnji materiala.</t>
  </si>
  <si>
    <t xml:space="preserve">Izvajalec priskrbi za izdelavo kompetne dokumentacije "Dokazilo o zanesljivosti", kompletno z vsemi potrebnimi izkazi, vsemi potrebnimi meritvami in pridobitvijo dokazil. </t>
  </si>
  <si>
    <t>Izvajalec priskrbi za označevanje cevovodov ter kanalov z označbo medija in smeri toka.</t>
  </si>
  <si>
    <t>OSTALE OBVEZNOSTI IZVAJALCA</t>
  </si>
  <si>
    <t>Vsa »požarna vrata« morajo biti opremljena z vsemi zahtevanimi certifikati potrebnimi za pridobitev uporabnega dovoljenja skladno z veljavnimi predpisi.</t>
  </si>
  <si>
    <t>Vrata bodo izdelana  v odprtini, ki jo bo potrebno zmanjšati  z montažno knauf zaporo.</t>
  </si>
  <si>
    <t xml:space="preserve"> Vrata  bodo imela  evakuacijsko kljuko (EN 179).</t>
  </si>
  <si>
    <t>Krmiljenje : avtomatsko krilno odpiranje  preko obojestranskega senzorja  gibanja .</t>
  </si>
  <si>
    <t xml:space="preserve">Požarno krmiljenje  pomeni deblokado in prehod na ročno odpiranje za evakuacijo . Eventualne  prehode instalacij  pod stropom  speljati v  gradbeni regi  in požarno zaščititi. </t>
  </si>
  <si>
    <t>Izdelava, dobava in montaža enokrilnih zasteklenih notranjih požarno odpornih vrat ali zasteklenih sten z vrati , ki se vgradijo med požarnimi sektorji. Stene z vrati vgrajeni  v  serijske  kovinske  pleskane tipizirane  okvirje (pečena barva).  Okvirji (podboji) kovinski, vgrajeni v obstoječe ometane stene (nadomestitev prej odstranjenih), vrata z vstavljenim dimotesnim negorljivim  tesnilom, podboji in okvirji  lakirani  z žgano (pečeno) barvo po izboru , ob zidovih  tesnjeni z negorljivim materialom, vgrajeni so v AB ometane stene. V okvirje  vstavljena tesnjena steklena polnila  z dvoslojnim   kaljenim lepljenim varnostnim požarnim steklom (karakteristike in kvaliteta stekla po priporočilu pro-izvajalca npr 2x5 mm oziroma po dogovoru napr Pilkington ali podobno), steklo oblepljeno s folijo po izboru. Vrata opremljena s kompletnim okovjem, ključavnica cilindrična, s protivlomnim ščitom,  ključavnica tudi na generalni (sistemski) ključ, nad krili samozapiralo okovje, kljuke in ščiti deljeni iz nerjaveče kovine (inox RF) po izbiri projektanta, troje RF nasadil. Požarna odpornost EiCS 30-C3.</t>
  </si>
  <si>
    <t>Vrata na hodniku  180/215   ( svetle mere 110/215 cm ).  
Nova vrata so požarna ,EI30 . izvedbe in tesnila  izbrana primerno glede na  EI 30 . 
Okovje  kvalitetno, kljuka in cilindrična ključavnica, z ločenim protivlomnim ščitom, odpiranje tudi na generalni ključ .</t>
  </si>
  <si>
    <t xml:space="preserve">Vratni podboj kovinski po celi višini stene  z zaobljenimi robovi ,krilo 110/210  bo kovinske konstrukcije in skoraj v celoti zastekljeno s prozornim požarnim varnostnim lepljenim steklom (primerne kvalitete za požarna vrata). Druga oprema  po opisu zahtev , za vrata EI 30. </t>
  </si>
  <si>
    <t xml:space="preserve">V ceni morajo biti upoštevani vsi stroški pripravljalnih in zaključnih del (vključno z usklajevanjem z ostalimi izvajalci na objektu) ter vse transportne stroške, stroške prenosa materiala, zavarovalne in ostale splošne stroške. V ceno po enoti mere je zajeta dobava in montaža materiala ter opreme s pomožnimi deli in drobnim materialom. V ceno vključiti zaščito objekta in opreme pred prahom in umazanijo. </t>
  </si>
  <si>
    <t>Obdelava špalet okoli novo vgrajenih vrat in oken. Delo obsega, nabavo, dobavo in izvedbo.</t>
  </si>
  <si>
    <t>Nabava, dobava in montaža predelne pregradne stene, višine do AB plošče, 250cm. Stena je sestavljena iz dvojne podkonstrukcije in dvoslojne obloge pritrjene na pocinkano konstrukcijo in dvojnim slojem izolacije 2 x 50mm. Stena ustreza požarni odpornosti EI90, in je vlagoodporna. V steni se nahajajo ojačitveni profili za ugraditev kopalniške opreme. Debelina stene 205mm (kot npr. Knauf W115). V ceno vključena tudi obdelava stikov. Plošče morajo biti vlagoodporne.</t>
  </si>
  <si>
    <t>Demontaža, prenos, nakladanje in odvoz na ustrezno deponijo obstoječega lesenega hišnega pohištva (postelje, mize, omare, stoli, kuhinja, jedilnica itd).</t>
  </si>
  <si>
    <t>Demontaža obstoječe kopalniške opreme (WC školjka, umivalniki, ogledala, držala, izplakovalniki, armaturne pipe), prenos, nakladanje in odvoz materiala na ustrezno deponijo iz vseh prostorov. V nadstropju je obstoječih 10 zasebnih sanitarnih prostorov in 6 skupnih (kopalnice in stranišča)</t>
  </si>
  <si>
    <t>Demontaža obstoječe tuš kadi iz skupne kopalnice, prenos, nakladanja in odvoz na ustrezno deponijo.</t>
  </si>
  <si>
    <t>Demontaža obstoječe čajne kuhinje, lesenih visečih omar, inox kuhinjskih elementov in ostale opreme v kuhinji in dnevnem prostoru.</t>
  </si>
  <si>
    <t>Rušenje stenske keramike v prostorih ter odvoz na ustrezno deponijo. Cena vključuje kompletno odstranitev ostankov lepila s sten, prenos, nakladanje in transport porušenega materiala na ustrezno deponijo.</t>
  </si>
  <si>
    <t>Izdelava odprtine do 2,5m2 v AB steni debeline 15cm. Cena zajema montažo in demontažo potrebne opreme za rezanje, prenos, nakladanje in odvoz odpadnega materiala na deponijo.</t>
  </si>
  <si>
    <t>Odstranjevanje  električnih inštalacij,obstoječih parapetnih kanalov, luči, vtičnic in vse ostale elektro opreme. Cena zajame demontažo, nalaganje in transport na ustrezno deponijo.</t>
  </si>
  <si>
    <t>Demontaža protipožarnih aparatov in začasno skladiščenje ter ponovna montaža po končani prenovi.</t>
  </si>
  <si>
    <t>Demontaža obstoječih lesenih obokov v hodniku, prenos nakladanje in odvoz na ustrezno deponijo.</t>
  </si>
  <si>
    <t>Pazljiva demontaža obstoječih notranjih žaluzij vključno z vsemi elementi, prenos in odvoz na trajno deponijo.</t>
  </si>
  <si>
    <t>Zidarska obdelava stene in stropa na mestu porušenih zidanih  sten. V ceni zajeti vsi potrebni materiali in prenosi na gradbišču.</t>
  </si>
  <si>
    <t>Izdelava horizontalne hidroizolacije tal v kopalnici z 2x nanosom cementne hidroizolacije ter armirno mrežico (npr. Mapei elastik 2K vodotesna elastična masa), vključno s premazom spodnjega roba stene v višini 20 cm in položitvijo trajno elastičnega tesnilnega traku (n.pr.Mapeiband 12) vključno z notranjimi vogalnimi elementi tesnilnega traku (n.pr. Mapeiband y vogalnik) skladno z navodili prosizvajalca hidroizolacije.</t>
  </si>
  <si>
    <t>Izdelava vertikalne hidroizolacije sten v območju tuša v kopalnicah s premazom (npr. Mapei elastik 2K vodotesna elastična masa),  vključno z notranjimi vogalnimi elementi tesnilnega traku (n.pr. Kemoband y vogalnik)</t>
  </si>
  <si>
    <t>Izdelava ometa predelnih AB in opečnih sten  v debelini min 2 cm. Grobi in fini omet z apnenocementno malto 1:2:6 s predhodnim obrizgom z.r.c.m. 1:3 (izpostavljeni vogali imajo zaključno letev).V ceni vključeni vsi stroški nabave, dobave in prenosa materila ter delovnih odrov.</t>
  </si>
  <si>
    <t>Demontaža obstoječih prezračevalnih rešetk pod okni in pozidava odprtin</t>
  </si>
  <si>
    <t>Pozidava raznih odprtin velikosti do 0,5 m2</t>
  </si>
  <si>
    <t>Izdelava prebojev v plošči in stenah za potrebe fi 50mm</t>
  </si>
  <si>
    <t>Izdelava, dobava in montaža notranjih drsnih vrat in vgradne kasete za drsna vrata (odpiranje v steno), jekleni podboj finalno obdelan v RAL po izboru projektanta, z zaobljenimi robovi, opremljeni s kvalitetnimi nasadili in vodili (kot npr. BOS). Vratko krilo leseno-perforirana iverka, finalno obdelana s CPL folijo, barvo potrdi projektant. Oprema : Ključavnica, utoplje ročaj (mat inox). Svetla višina 200x90cm.</t>
  </si>
  <si>
    <t>Izdelava, dobava in montaža stenske obloge v sobah širine 30 cm. Stenska obloga izdelan iz iverala. Vsi robovi so izdelani z 2mm ABS trakom. V delo je vključen ves pritrdilni material. Dimenzije preveriti in uskladiti z dejansko izvedenimi detajli.</t>
  </si>
  <si>
    <t>Nabava, dobava in vgradnja okenskih lesenih masivnih polic debeline 4,0 cm in širine 30cm, robovi zaobljeni, izdelani z 2mm ABS trakom debeline. Vse dimenzije je treba uskladiti z dejanskimi dimenzijami. Montaža polic na izdelane kovinske nosilce. Delo obsega dobavo, montažo in ves pritrdilni material.</t>
  </si>
  <si>
    <t xml:space="preserve">Nabava, dobava in vgradnja kovinskega podboja, svetla mera prehoda 90/200cm, z zaobljenimi robovi, pocinkan in prašno barvan, barva v RAL-u po izboru projektanta (kot npr. BOS). Nabava, dobava in vgradnja vratnega krila: leseno-polno iverokal, finalno obdelano z laminatom odpornim na obrabo in čiščenje, dimenzije 90x200cm. Barvo potrdi projektant. Ključavnica, kljuka in mehanizem za odpiranje v mat-inox izvedbi, tesnilo, nosilnost nasadil skladna s širino in težo vratnega krila. </t>
  </si>
  <si>
    <t>Izdelava podstavka za potrebe montaže zunanje klimatske enote.</t>
  </si>
  <si>
    <t xml:space="preserve">Izdelava in montaža pokrivne maske iz alu pločevine na zunanji fasadi dimenzije 60x20 cm. Debelina pločevine 3 mm, prašno barvano. Maska se vgradi na zunanjo steno, kot zaščite cevne instalacije za povezavo notranje in zunanje klimatske enote. </t>
  </si>
  <si>
    <t>Polaganje v prostorih do 5m2.</t>
  </si>
  <si>
    <t xml:space="preserve">Odstranitev estrih debeline do 10 cm, PVC talnih oblog in plute, vključno z vsemi sloji do AB plošče.  Delo obsega tu izravnavno betonske ploše. V ceno je zajeto tudi nalaganje, transport in odvoz na deponijo.Ocenjena vrednost. </t>
  </si>
  <si>
    <t>Odstranitev estrih debeline do 8 cm, PVC talnih oblog in plute, vključno z vsemi sloji do AB plošče.  Delo obsega tu izravnavno betonske ploše. V ceno je zajeto tudi nalaganje, transport in odvoz na deponijo. Obračun po m2 tlorisne površine prostora.</t>
  </si>
  <si>
    <t>Rušenje betonski estrih debeline do 10cm, vključno z keramiko in ostalimi sloji, do betonske plošče. Delo obsega tudi izravnavno sloja do ravne betonske plošče. V ceno je zajeto tudi nalaganje, transport in odvoz na deponijo. Ocenjena vrednost.</t>
  </si>
  <si>
    <t>Rezanje AB sten debeline 15cm širine do 20cm. Cena zajema montažo in demontažo potrebne opreme za rezanje, prenos, nakladanje in odvoz odpadnega materiala na deponijo.</t>
  </si>
  <si>
    <t>Rušenje predelne opečne stene debeline do 25cm, prenos, nakladanje in odvoz odpadnega materiala na ustrezno deponijo.</t>
  </si>
  <si>
    <t>Odstranjevanje nezdrevega ometa, prenos, nakladanje in odvoz odpadnega materiala na ustrezno deponijo.</t>
  </si>
  <si>
    <t>Odstranjevanje stropnega ometa na lokaciji novih siporeks sten ter zidarska obdelava po vzidavi sten. Cena zajame tudi prenos, nakladanje in odvoz odpadnega materiala na ustrezno deponijo. Ocenjena vrednost.</t>
  </si>
  <si>
    <t>Izdelava plavajočega cementnega estriha v skupnih kopalnicah v naslednji sestavi: stiropor deb. 4 cm, PVC folija in parna zapora (zapiranje vlage nad 2%),mikroarmirani cementni estrih mikroarmirana PP vlakna 0,95kg/m3 (kot npr.FIBRILs F120) debeline 5 cm vključno s predhodnim čiščenjem podlage,robnim trakom 10cm, izdelavo dilatacij in vsemi pomožnimi deli. Izvedeni tlak mora imeti minimalni padec proti talni kanaleti oziroma talnemu sifonu. Višina talne obloge v hodnikih in talnih keramičnih ploščic v kopalnicah  mora biti enaka. Debelino estriha prilagoditi glede na debelino talne keramike.</t>
  </si>
  <si>
    <t>Izdelava, dobava in montaža avtomatskih drsnih vrat DOORSON product line 300 s porabo električne energije v načinu delovanja ODPRTO ali ZAPRTO manjšo od 0,5Wh. Uporaba enostavnega programskega stikala z gumbom za izbiro načina delovanja in LED indikatorjem za diagnostiko napak in opozoril ali naprednega programskega stikala z osvetljenim barvnim grafičnim zaslonom na dotik, ki omogoča enostavno upravljanje vrat in izbiro sedmih načinov delovanja ter diagnostični opis opozoril in napak v besedi. Varnost prehoda zagotavljata kombinirana senzorja gibanja in prisotnosti s samo-preverjanjem delovanja. Dodatno se lahko vgradijo stranski senzorji prisotnosti s samo-preverjanjem delovanja, ki zagotavljajo varnost pri odpiranju vrat. Vse v skladu s standardom EN 16005, ki določa varnost pri uporabi avtomatskih vrat. Baterijska podpora omogoča odprtje vrat ob izpadu omrežne napetosti, elektromehanska ključavnica pa služi za zaklepanje vrat. Vitek pogonski mehanizem, višine 10cm, s poudarjeno polkrožno linijo po celotni dolžini maske nudi možnost uporabe različnih dekorjev maske pogona po izbiri naročnika ali arhitekta. Vsi vidni kovinski deli so v barvnem tonu eloksiran aluminij ali RAL barvnem tonu po izbiri.</t>
  </si>
  <si>
    <t>Dimenzije:</t>
  </si>
  <si>
    <t>Krila sestavljajo 20mm sistemski profili DOORSON, zasteklitev varnostno enojno mat steklo 10(8)mm v gumi tesnilih.</t>
  </si>
  <si>
    <t>1050x2050 mm ŠxV prehodna površina</t>
  </si>
  <si>
    <t>1050x2050 mm ŠxV gradbena odprtina</t>
  </si>
  <si>
    <t>1 kos drsno krilo</t>
  </si>
  <si>
    <t>2 kos brez dotična tipka za odpiranje</t>
  </si>
  <si>
    <t>RAL prašno barvano po izboru projektanta</t>
  </si>
  <si>
    <t>DELOVANJE VRAT:</t>
  </si>
  <si>
    <r>
      <rPr>
        <b/>
        <sz val="11"/>
        <rFont val="Calibri"/>
        <family val="2"/>
        <charset val="238"/>
        <scheme val="minor"/>
      </rPr>
      <t>NORMALNI - DRSNI NAČIN</t>
    </r>
    <r>
      <rPr>
        <sz val="11"/>
        <rFont val="Calibri"/>
        <family val="2"/>
        <charset val="238"/>
        <scheme val="minor"/>
      </rPr>
      <t xml:space="preserve"> delovanja vrat, ustreza delovanju klasičnih avtomatskih drsnih vrat, enostavno prehajanje skozi vrata.</t>
    </r>
  </si>
  <si>
    <r>
      <rPr>
        <b/>
        <sz val="11"/>
        <rFont val="Calibri"/>
        <family val="2"/>
        <charset val="238"/>
        <scheme val="minor"/>
      </rPr>
      <t>PREHOD</t>
    </r>
    <r>
      <rPr>
        <sz val="11"/>
        <rFont val="Calibri"/>
        <family val="2"/>
        <charset val="238"/>
        <scheme val="minor"/>
      </rPr>
      <t xml:space="preserve"> iz drsnega načina delovanja vrat v požarno varni način delovanja, se izvrši samodejno in sicer v primeru požarnega signala, izpada električnega napajanja ali napake pri delovanju sistema. Popolnoma mehansko brez električne energije se izvrši brezpogojno zaprtje drsnih vrat, krilno odpiranje pa se sprosti.</t>
    </r>
  </si>
  <si>
    <r>
      <rPr>
        <b/>
        <sz val="11"/>
        <rFont val="Calibri"/>
        <family val="2"/>
        <charset val="238"/>
        <scheme val="minor"/>
      </rPr>
      <t>POŽARNI NAČIN</t>
    </r>
    <r>
      <rPr>
        <sz val="11"/>
        <rFont val="Calibri"/>
        <family val="2"/>
        <charset val="238"/>
        <scheme val="minor"/>
      </rPr>
      <t xml:space="preserve"> delovanja vrat omogoča le ročno odpiranje krilnih vrat s pomočjo evakuacijske naletne letve ali kljuke. Evakuacijsko krilo se zapira z vgrajenim mehanskim samozapiralom. Tako vrata omogočajo enostavno in varno evakuacijo.</t>
    </r>
  </si>
  <si>
    <t>1400x2200 mm ŠxV prehodna površina</t>
  </si>
  <si>
    <t>2900x2450 mm ŠxV gradbena odprtina</t>
  </si>
  <si>
    <t>1 kos evakuacijsko krilo</t>
  </si>
  <si>
    <t>1 kos stransko krilo</t>
  </si>
  <si>
    <r>
      <t xml:space="preserve">Izdelava, dobava in montaža avtomatskih drsnih požarnih EVAKUACIJSKIH vrat </t>
    </r>
    <r>
      <rPr>
        <b/>
        <sz val="11"/>
        <rFont val="Calibri"/>
        <family val="2"/>
        <charset val="238"/>
        <scheme val="minor"/>
      </rPr>
      <t>DOORSON product line 500 EFS</t>
    </r>
    <r>
      <rPr>
        <sz val="11"/>
        <rFont val="Calibri"/>
        <family val="2"/>
        <charset val="238"/>
        <scheme val="minor"/>
      </rPr>
      <t xml:space="preserve">. Sodoben pogonski mehanizem višine 17cm. Uporaba enostavnega programskega stikala z gumbom za izbiro načina delovanja in LED indikatorjem za diagnostiko napak in opozoril ali naprednega programskega stikala z osvetljenim grafičnim zaslonom na dotik, ki omogoča enostavno upravljanje vrat in izbiro sedmih načinov delovanja ter diagnostični opis opozoril in napak v besedi. Varnost prehoda zagotavljata kombinirana senzorja gibanja in prisotnosti s samopreverjanjem delovanja, elektromehanska ključavnica, elektromehanski aktuatorji in mehanizem prisilnega zapiranja. Dodatno se lahko vgradijo stranski senzorji prisotnosti s samo-preverjanjem delovanja, ki zagotavljajo varnost pri odpiranju vrat.Vse v skladu s standardom </t>
    </r>
    <r>
      <rPr>
        <b/>
        <sz val="11"/>
        <rFont val="Calibri"/>
        <family val="2"/>
        <charset val="238"/>
        <scheme val="minor"/>
      </rPr>
      <t>EN 16005</t>
    </r>
    <r>
      <rPr>
        <sz val="11"/>
        <rFont val="Calibri"/>
        <family val="2"/>
        <charset val="238"/>
        <scheme val="minor"/>
      </rPr>
      <t>, ki določa varnost pri uporabi avtomatskih vrat. Konstrukcija in vratno krilo sta setavljena iz jeklene konstrukcije, jeklenih okvirjev, stekla, okovja, samozapiral, kljuk in tesnil, vse razreda odpornosti EI30. Vsi vidni kovinski deli kril in pogona so v barvi RAL barvnega tona.</t>
    </r>
  </si>
  <si>
    <t>Dobava in montaža mavčnokartonskh sten na mestu prilagoditve odprtin za vrata. Debelina stene 155mm, višine stene 250cm, do stropne plošče. Stena je sestavljena iz dvojne pocinkane konstrukcije in iz dvoslojne obloge (kot npr. W115 Knauf pregradna stena) in izolacije 2 x 50mm. Stena mora zadoščat požarni zahtevi EI90. V ceno uračunano obdelava stikov in izravnava. V ceno so vključeni ojačitveni profili UA za pritrjevanje krilnih vrat.</t>
  </si>
  <si>
    <t>Dobava materiala in izdelava stenskih oblog istalacijskih jaškov kot npr knauf W628 sestavljene in pocinkane podkonstrukcije, dvojne mavčnokartonske plošče GKFI 2x15mm.V ceno vključeno bandažiranje in 1x glajenjem stikov, obdelavo vogalov, z vsemi pomožnimi deli, materiali in prenosi, izdelave odprtin  za instalacije itd.</t>
  </si>
  <si>
    <t xml:space="preserve">Dobava in montaža mavčno kartonske škatle nad vrati, dimenzije 15x50x120cm. Stena je sestavljena iz dvojne pocinkane konstrukcije in iz dvoslojne obloge (kot npr. W115 Knauf pregradna stena) in izolacije 2 x 50mm. Stena mora zadoščat požarni zahtevi EI90. V ceno uračunano  obdelava stikov in izravnava. </t>
  </si>
  <si>
    <t>Vgradnja ojačitvenih UA profilov 75mm vključno s pritrdilnim materialom in veznimi elementi.</t>
  </si>
  <si>
    <t>Vgradnja ojačitev za montažo raznih elementov narejena iz OSB ploče debeline 25mm, pritrjene za nosilno podkonstrukcijo</t>
  </si>
  <si>
    <t xml:space="preserve">Vgradnja  podometnega splakovalnika kot npr Geberit Duofix (cena elementa zajeta v popisu SI), vključno z vsem pomožnim in pritrjevalnim materialom. </t>
  </si>
  <si>
    <t xml:space="preserve">Vgradnja nosilne pokonstrukcije kot npr Geberit Duofix (cena elementa zajeta v SI) za umivalnik vključno z vsem pomožnim in pritrjevalnim materialom. </t>
  </si>
  <si>
    <t>Izdelava mavčnokartonske škatle pod stropom dimenzije 50x30cm za potrebe razvoda strojnih instalacij. Nosilna konstrukcija sestavljena iz pocinkanih profilov, pritrjenih na strop.Škatla je obložena z dve strani z mavčno kartonsko ploščo 12,5 mm. V ceni vključeni vsa pomožna dela in pritrdilni elementi vključno z izdelavo revizijskih odprtin</t>
  </si>
  <si>
    <t>Izdelava požarnega tesnjenja prehodov strojnih in elektro instalacij med požarnimi sektorji skladno z izdelano ŠPV skladno z veljavnimi smernicami.</t>
  </si>
  <si>
    <t>Dobava in vgradnja carbonskih lamel kot npr Carbodur S 512 vključno s pripravo podlage.</t>
  </si>
  <si>
    <t>Brušenje in sesanje strojnega betonskega estriha (zahteve: ravnost podlage po EN 18202 tabela 3, vlažnost estriha max. 2,0% po CM metodi, če je talno gretje vlažnost estriha max. 1,8%, temperatura podlage 15-20°C, temperatura zraka 18-25°C, relativna zračna vlaga pod 70%), nanos disperzijskega predpremaza kot npr. Schonox SHP, izravnava podlage z cement polimerno izravnalno maso kot npr. Schonox ZM (zahteva DIN EN 13813 C30/F6; tlačna trdnost min. 30N/mm2, upogibna trdnost min. 6N/mm2) povprečne debeline 2,0mm.</t>
  </si>
  <si>
    <t>Brušenje in sesanje položene izravnalne mase, montaža PVC talne obloge z lepljenjem na podlago po celotni površini s kvalitetnim vodno disperzijskim lepilom kot npr. Schonox Emiclassic, vroče varjenje spojev za doseganje vodne neprepustnosti.</t>
  </si>
  <si>
    <t>Izdelava stenskih zaokrožnic iz enakega materiala kot osnovni tlak vključno s podložnim PVC profilom radij 20mm višine 10cm.</t>
  </si>
  <si>
    <t>tm</t>
  </si>
  <si>
    <r>
      <t xml:space="preserve">Dobava visokokvalitetne PVC heterogene talne obloge kot npr. </t>
    </r>
    <r>
      <rPr>
        <b/>
        <sz val="11"/>
        <rFont val="Calibri"/>
        <family val="2"/>
        <charset val="238"/>
        <scheme val="minor"/>
      </rPr>
      <t>TARALAY POESY</t>
    </r>
    <r>
      <rPr>
        <sz val="11"/>
        <rFont val="Calibri"/>
        <family val="2"/>
        <charset val="238"/>
        <scheme val="minor"/>
      </rPr>
      <t>; skupna debelina EN 428 2,0mm, debelina pohodnega sloja EN 429 ≥1mm iz čistega PVCja, ojačevalni sloj mrežica iz steklenih vlaken, skupna teža EN 430 2580-2680gr/m2, širina/dolžina rol EN 426 200cm/20m, klasifikacija EN 685 34-43, ognjevarnost EN 13 501-1 Bfl-s1, antistatičnost EN 1815 &lt; 2kV, odpornost površine EN 6602 ≤ 2,0mm - razred T, primerna za zelo prehodna območja, odlična zmožnost vračanja odtisovanja ≤0,1mm, dimenzijska stabilnost EN434 ≤ 0,4%, termična prevodnost EN 15 524 0,25W/(m.K), barvna obstojnost ≥ 6, zdrsnost DS R10, primeren za talno gretje, odpornost na kemikalije dobra, permanentna antibakteriološka in antifungicidna obdelava Sanosol, UV obdelava pohodnega sloja Protecsol (dodatno premazovanje v eksploataciji ni potrebno), 100% recycable.</t>
    </r>
  </si>
  <si>
    <t>Dobava materiala in slikanje notranjih ometanih sten s poldisperzijsko barvo. Stenske površine je treba predhodno pobrusiti, 2x kitati, 2x obrusiti, fino zagladiti, očistiti in impregnirati ter dvokratno poslikati s poldisperzijsko barvo. V ceno so zajeta vsa pripravljala dela. Stike med starem in novim ometom je potrebno dodatno bandažirati z pvc mrežicom (obdelava utorov).</t>
  </si>
  <si>
    <t>Dodatno slikanje sten predhodno obdelanih sten s pralno barvo kot. npr Latex</t>
  </si>
  <si>
    <t>V ceni so zajeti vsi stroški prenosa in transporta materiala in delovnih odrov.</t>
  </si>
  <si>
    <t xml:space="preserve"> V ceni morajo biti upoštevani vsi stroški pripravljalnih in zaključnih del (vključno z usklajevanjem z ostalimi izvajalci na objektu) ter vse transportne, stroške prenosa materiala, delovniih odrov, zavarovalne in ostale splošne stroške. V ceno po enoti mere je zajeta dobava in montaža materiala ter opreme s pomožnimi deli in drobnim materialom. </t>
  </si>
  <si>
    <t>Demontaža obstoječih kovinskih podbojev vključno z vratnim krilom in obstoječih lesenih drsnih vrat ter odvoz na ustrezno deponijo. V ceni je vključeno prenos, nakladanje in transport materiala na ustrezno deponijo.</t>
  </si>
  <si>
    <t>Demontaža obstoječih lesenih stenskih oblog različnih dimenzij, prenos in odvoz na trajno deponijo.</t>
  </si>
  <si>
    <t>Demontaža inox visečih omar in odvoz na trajno deponijo (kopalnice, med. sestra itd)</t>
  </si>
  <si>
    <t>Demontaža lesene zasteklitve in odvoz na trajno deponijo (prostor med. sestre)</t>
  </si>
  <si>
    <t xml:space="preserve"> Izdelava prebojev fi 200 v AB stenah in ploščah debeline do 20cm za potrebe prehoda instalacij </t>
  </si>
  <si>
    <t xml:space="preserve"> Izdelava prebojev fi 100 v AB stenah in ploščah debeline do 20cm za potrebe prehoda instalacij </t>
  </si>
  <si>
    <t xml:space="preserve"> Izdelava prebojev fi 50 v AB stenah in ploščah debeline do 20cm za potrebe prehoda instalacij </t>
  </si>
  <si>
    <t>kopl</t>
  </si>
  <si>
    <t>Izdelava prebojev v betonski plošči  fi 200 mm za potrebe prehodov novih instalacij</t>
  </si>
  <si>
    <t>Izdelava prebojev v betonski plošči  fi 100 mm za potrebe prehodov novih instalacij</t>
  </si>
  <si>
    <t xml:space="preserve">Preveriti popis za zasteklitev, </t>
  </si>
  <si>
    <t>Nabava, dobava in montaža notranje steklene stene</t>
  </si>
  <si>
    <t>zidna odprtina: 325/245 cm, brez podboja, brez okvirja
zasteklitev: varnostno kaljeno steklo ESG, v skladu s standardom EN 12150-2, brez okvirja z nalepkami-folija na višini 90cm, opremljena z okvirjem iz minimalističnih alu U profilov, oblika kljuke v skladu s standardom SIST EN 179</t>
  </si>
  <si>
    <t>Nabava, dobava in montaža notranje steklene stene z enokrilnimi nihajnimi vrati / notranja / steklo</t>
  </si>
  <si>
    <t>odprtina: zidna odprtina: 255/240 cm, svetla odprtina: 100/210
okvir-podboj: brez podboja, brez okvirja
krilo: steklena enokrilna vrata brez okvirja; stranski del fiksen
zasteklitev: varnostno kaljeno steklo ESG, v skladu s standardom EN 12150-2, brez okvirja z nalepkami-folija na višini 90cm (označitev objektov/ prostorov)
okovje: opremljeno z vsem potrebnim okovjem za odpiranje okrog vertikalne osi, ALU kljuka, ključavnica, sistemski ključ, vpeto v steno z nihajnimi tečaji (po izboru proj.) po sistemu nihajnega odpiranja, fiksni del opremljen z okvirjem iz minimalističnih alu U profilov, oblika kljuke v skladu s standardom SIST EN 179</t>
  </si>
  <si>
    <t>zidna odprtina: 150/245 cm, brez podboja, brez okvirja
zasteklitev: varnostno kaljeno steklo ESG, v skladu s standardom EN 12150-2, brez okvirja z nalepkami-folija na višini 90cm, opremljena z okvirjem iz minimalističnih alu U profilov, oblika kljuke v skladu s standardom SIST EN 179</t>
  </si>
  <si>
    <t>odprtina: zidna odprtina: 260/240 cm, svetla odprtina: 100/210
okvir-podboj: brez podboja, brez okvirja
krilo: steklena enokrilna vrata brez okvirja; stranski del fiksen
zasteklitev: varnostno kaljeno steklo ESG, v skladu s standardom EN 12150-2, brez okvirja z nalepkami-folija na višini 90cm (označitev objektov/ prostorov)
okovje: opremljeno z vsem potrebnim okovjem za odpiranje okrog vertikalne osi, ALU kljuka, ključavnica, sistemski ključ, vpeto v steno z nihajnimi tečaji (po izboru proj.) po sistemu nihajnega odpiranja, fiksni del opremljen z okvirjem iz minimalističnih alu U profilov, oblika kljuke v skladu s standardom SIST EN 179</t>
  </si>
  <si>
    <t>Dobava materiala in izdelava stenskih oblog  sestavljene in pocinkane podkonstrukcije, dvojne mavčnokartonske plošče GKBI 2x12,5mm.V ceno vključeno bandažiranje in 1x glajenjem stikov, obdelavo vogalov, z vsemi pomožnimi deli, materiali in prenosi, izdelave odprtin  za instalacije itd.</t>
  </si>
  <si>
    <t>Nabava dobava in vgradnja novih notranjih žaluzij širine 25mm z mehanizmom na vrv</t>
  </si>
  <si>
    <t>II.8.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</si>
</sst>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Red]\(&quot;$&quot;#,##0.00\)"/>
    <numFmt numFmtId="165" formatCode="_(* #,##0.00_);_(* \(#,##0.00\);_(* &quot;-&quot;??_);_(@_)"/>
    <numFmt numFmtId="166" formatCode="_-* #,##0.00\ &quot;SIT&quot;_-;\-* #,##0.00\ &quot;SIT&quot;_-;_-* &quot;-&quot;??\ &quot;SIT&quot;_-;_-@_-"/>
    <numFmt numFmtId="167" formatCode="_-* #,##0.00\ _S_I_T_-;\-* #,##0.00\ _S_I_T_-;_-* &quot;-&quot;??\ _S_I_T_-;_-@_-"/>
    <numFmt numFmtId="168" formatCode="#,##0.00_ ;[Red]\-#,##0.00\ "/>
  </numFmts>
  <fonts count="29" x14ac:knownFonts="1">
    <font>
      <sz val="11"/>
      <color theme="1"/>
      <name val="Calibri"/>
      <family val="2"/>
      <scheme val="minor"/>
    </font>
    <font>
      <sz val="11"/>
      <color theme="1"/>
      <name val="Calibri"/>
      <family val="2"/>
      <charset val="238"/>
      <scheme val="minor"/>
    </font>
    <font>
      <sz val="11"/>
      <name val="Calibri"/>
      <family val="2"/>
      <charset val="238"/>
    </font>
    <font>
      <sz val="11"/>
      <color indexed="8"/>
      <name val="Calibri"/>
      <family val="2"/>
      <charset val="238"/>
      <scheme val="minor"/>
    </font>
    <font>
      <sz val="11"/>
      <name val="Calibri"/>
      <family val="2"/>
      <charset val="238"/>
      <scheme val="minor"/>
    </font>
    <font>
      <sz val="11"/>
      <color rgb="FFFF0000"/>
      <name val="Calibri"/>
      <family val="2"/>
      <scheme val="minor"/>
    </font>
    <font>
      <sz val="11"/>
      <name val="Calibri"/>
      <family val="2"/>
      <scheme val="minor"/>
    </font>
    <font>
      <b/>
      <sz val="11"/>
      <color theme="1"/>
      <name val="Calibri"/>
      <family val="2"/>
      <charset val="238"/>
      <scheme val="minor"/>
    </font>
    <font>
      <sz val="10"/>
      <name val="Arial"/>
      <family val="2"/>
      <charset val="238"/>
    </font>
    <font>
      <b/>
      <sz val="11"/>
      <color indexed="8"/>
      <name val="Calibri"/>
      <family val="2"/>
      <charset val="238"/>
    </font>
    <font>
      <sz val="10"/>
      <name val="Arial CE"/>
      <charset val="238"/>
    </font>
    <font>
      <b/>
      <sz val="11"/>
      <name val="Arial"/>
      <family val="2"/>
      <charset val="238"/>
    </font>
    <font>
      <sz val="11"/>
      <name val="Arial"/>
      <family val="2"/>
      <charset val="238"/>
    </font>
    <font>
      <sz val="11"/>
      <color theme="1"/>
      <name val="Calibri"/>
      <family val="2"/>
      <charset val="238"/>
      <scheme val="minor"/>
    </font>
    <font>
      <sz val="10"/>
      <name val="MS Sans Serif"/>
      <family val="2"/>
      <charset val="238"/>
    </font>
    <font>
      <b/>
      <sz val="18"/>
      <color theme="1"/>
      <name val="Calibri"/>
      <family val="2"/>
      <charset val="238"/>
      <scheme val="minor"/>
    </font>
    <font>
      <sz val="11"/>
      <color theme="1"/>
      <name val="Calibri"/>
      <family val="2"/>
      <scheme val="minor"/>
    </font>
    <font>
      <sz val="11"/>
      <color theme="0"/>
      <name val="Calibri"/>
      <family val="2"/>
      <scheme val="minor"/>
    </font>
    <font>
      <sz val="10"/>
      <name val="Arial CE"/>
      <family val="2"/>
      <charset val="238"/>
    </font>
    <font>
      <sz val="10"/>
      <name val="Arial CE"/>
      <family val="2"/>
    </font>
    <font>
      <sz val="10"/>
      <name val="MS Sans Serif"/>
      <family val="2"/>
    </font>
    <font>
      <sz val="10"/>
      <name val="Arial CE"/>
    </font>
    <font>
      <sz val="14"/>
      <color theme="1"/>
      <name val="Calibri"/>
      <family val="2"/>
      <charset val="238"/>
      <scheme val="minor"/>
    </font>
    <font>
      <sz val="12"/>
      <color theme="1"/>
      <name val="Calibri"/>
      <family val="2"/>
      <charset val="238"/>
      <scheme val="minor"/>
    </font>
    <font>
      <sz val="9"/>
      <name val="Arial"/>
      <family val="2"/>
    </font>
    <font>
      <sz val="8"/>
      <color indexed="81"/>
      <name val="Tahoma"/>
      <family val="2"/>
      <charset val="238"/>
    </font>
    <font>
      <b/>
      <sz val="11"/>
      <name val="Calibri"/>
      <family val="2"/>
      <charset val="238"/>
      <scheme val="minor"/>
    </font>
    <font>
      <b/>
      <u/>
      <sz val="11"/>
      <name val="Calibri"/>
      <family val="2"/>
      <charset val="238"/>
      <scheme val="minor"/>
    </font>
    <font>
      <sz val="9"/>
      <name val="Arial"/>
      <family val="2"/>
      <charset val="23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24">
    <xf numFmtId="0" fontId="0" fillId="0" borderId="0"/>
    <xf numFmtId="0" fontId="8" fillId="0" borderId="0"/>
    <xf numFmtId="0" fontId="8" fillId="0" borderId="0">
      <alignment vertical="top" wrapText="1"/>
      <protection locked="0"/>
    </xf>
    <xf numFmtId="0" fontId="10" fillId="0" borderId="0"/>
    <xf numFmtId="0" fontId="10" fillId="0" borderId="0"/>
    <xf numFmtId="0" fontId="13" fillId="0" borderId="0"/>
    <xf numFmtId="0" fontId="14" fillId="0" borderId="0"/>
    <xf numFmtId="164" fontId="14" fillId="0" borderId="0" applyFont="0" applyFill="0" applyBorder="0" applyAlignment="0" applyProtection="0"/>
    <xf numFmtId="165" fontId="16" fillId="0" borderId="0" applyFont="0" applyFill="0" applyBorder="0" applyAlignment="0" applyProtection="0"/>
    <xf numFmtId="0" fontId="13" fillId="0" borderId="0"/>
    <xf numFmtId="0" fontId="19" fillId="0" borderId="0"/>
    <xf numFmtId="0" fontId="18" fillId="0" borderId="0"/>
    <xf numFmtId="166" fontId="10" fillId="0" borderId="0" applyFont="0" applyFill="0" applyBorder="0" applyAlignment="0" applyProtection="0"/>
    <xf numFmtId="167" fontId="10" fillId="0" borderId="0" applyFont="0" applyFill="0" applyBorder="0" applyAlignment="0" applyProtection="0"/>
    <xf numFmtId="0" fontId="8" fillId="0" borderId="0"/>
    <xf numFmtId="0" fontId="10" fillId="0" borderId="0"/>
    <xf numFmtId="0" fontId="13" fillId="0" borderId="0"/>
    <xf numFmtId="9" fontId="8" fillId="0" borderId="0" applyFont="0" applyFill="0" applyBorder="0" applyAlignment="0" applyProtection="0"/>
    <xf numFmtId="0" fontId="20" fillId="0" borderId="0"/>
    <xf numFmtId="0" fontId="21" fillId="0" borderId="0"/>
    <xf numFmtId="0" fontId="18" fillId="0" borderId="0"/>
    <xf numFmtId="0" fontId="18" fillId="0" borderId="0"/>
    <xf numFmtId="0" fontId="8" fillId="0" borderId="0"/>
    <xf numFmtId="0" fontId="21" fillId="0" borderId="0"/>
  </cellStyleXfs>
  <cellXfs count="164">
    <xf numFmtId="0" fontId="0" fillId="0" borderId="0" xfId="0"/>
    <xf numFmtId="0" fontId="0" fillId="2" borderId="1" xfId="0" applyFill="1" applyBorder="1" applyAlignment="1">
      <alignment horizontal="left"/>
    </xf>
    <xf numFmtId="0" fontId="0" fillId="0" borderId="0" xfId="0" applyAlignment="1">
      <alignment horizontal="left" vertical="center" wrapText="1"/>
    </xf>
    <xf numFmtId="0" fontId="0" fillId="0" borderId="0" xfId="0" applyAlignment="1"/>
    <xf numFmtId="0" fontId="0" fillId="0" borderId="0" xfId="0" applyAlignment="1">
      <alignment wrapText="1"/>
    </xf>
    <xf numFmtId="0" fontId="0" fillId="0" borderId="0" xfId="0" applyAlignment="1">
      <alignment horizontal="left" vertical="top"/>
    </xf>
    <xf numFmtId="0" fontId="0" fillId="2" borderId="1" xfId="0" applyFill="1" applyBorder="1" applyAlignment="1"/>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wrapText="1"/>
    </xf>
    <xf numFmtId="0" fontId="5" fillId="0" borderId="0" xfId="0" applyFont="1" applyAlignment="1">
      <alignment horizontal="left" vertical="center" wrapText="1"/>
    </xf>
    <xf numFmtId="2" fontId="0" fillId="0" borderId="0" xfId="0" applyNumberFormat="1"/>
    <xf numFmtId="2" fontId="0" fillId="0" borderId="0" xfId="0" applyNumberFormat="1" applyAlignment="1">
      <alignment horizontal="left"/>
    </xf>
    <xf numFmtId="0" fontId="6" fillId="0" borderId="0" xfId="0" applyFont="1" applyAlignment="1">
      <alignment wrapText="1"/>
    </xf>
    <xf numFmtId="0" fontId="6" fillId="0" borderId="0" xfId="0" applyFont="1" applyAlignment="1">
      <alignment horizontal="left" vertical="center" wrapText="1"/>
    </xf>
    <xf numFmtId="0" fontId="6" fillId="0" borderId="0" xfId="0" applyFont="1" applyFill="1" applyBorder="1" applyAlignment="1">
      <alignment wrapText="1"/>
    </xf>
    <xf numFmtId="0" fontId="6" fillId="0" borderId="0" xfId="0" applyFont="1" applyBorder="1" applyAlignment="1">
      <alignment wrapText="1"/>
    </xf>
    <xf numFmtId="0" fontId="6" fillId="0" borderId="0" xfId="0" applyFont="1" applyBorder="1" applyAlignment="1">
      <alignment horizontal="left" vertical="center"/>
    </xf>
    <xf numFmtId="0" fontId="6" fillId="0" borderId="0" xfId="0" applyFont="1" applyFill="1" applyAlignment="1">
      <alignment wrapText="1"/>
    </xf>
    <xf numFmtId="0" fontId="0" fillId="2" borderId="1" xfId="0" applyFill="1" applyBorder="1" applyAlignment="1">
      <alignment horizontal="right"/>
    </xf>
    <xf numFmtId="0" fontId="0" fillId="0" borderId="2" xfId="0" applyBorder="1" applyAlignment="1">
      <alignment wrapText="1"/>
    </xf>
    <xf numFmtId="0" fontId="0" fillId="0" borderId="2" xfId="0" applyBorder="1" applyAlignment="1">
      <alignment horizontal="right"/>
    </xf>
    <xf numFmtId="2" fontId="0" fillId="0" borderId="2" xfId="0" applyNumberFormat="1" applyBorder="1" applyAlignment="1">
      <alignment horizontal="right"/>
    </xf>
    <xf numFmtId="2" fontId="0" fillId="0" borderId="2" xfId="0" applyNumberFormat="1" applyBorder="1"/>
    <xf numFmtId="2" fontId="7" fillId="0" borderId="0" xfId="0" applyNumberFormat="1" applyFont="1"/>
    <xf numFmtId="0" fontId="7" fillId="0" borderId="0" xfId="0" applyFont="1" applyAlignment="1">
      <alignment wrapText="1"/>
    </xf>
    <xf numFmtId="0" fontId="0" fillId="0" borderId="0" xfId="0" applyBorder="1"/>
    <xf numFmtId="0" fontId="3" fillId="0" borderId="0" xfId="0" applyFont="1" applyFill="1" applyAlignment="1">
      <alignment vertical="top" wrapText="1"/>
    </xf>
    <xf numFmtId="0" fontId="0" fillId="0" borderId="0" xfId="0" applyBorder="1" applyAlignment="1">
      <alignment horizontal="right" vertical="top"/>
    </xf>
    <xf numFmtId="0" fontId="0" fillId="0" borderId="0" xfId="0" applyFill="1" applyBorder="1" applyAlignment="1">
      <alignment horizontal="right" vertical="top"/>
    </xf>
    <xf numFmtId="0" fontId="4" fillId="0" borderId="0" xfId="0" applyFont="1" applyBorder="1" applyAlignment="1">
      <alignment wrapText="1"/>
    </xf>
    <xf numFmtId="0" fontId="4" fillId="0" borderId="0" xfId="0" applyFont="1" applyFill="1" applyBorder="1" applyAlignment="1">
      <alignment wrapText="1"/>
    </xf>
    <xf numFmtId="0" fontId="6" fillId="0" borderId="0" xfId="0" applyFont="1" applyBorder="1" applyAlignment="1">
      <alignment horizontal="center"/>
    </xf>
    <xf numFmtId="0" fontId="6" fillId="0" borderId="0" xfId="0" applyFont="1" applyBorder="1" applyAlignment="1">
      <alignment horizontal="right" vertical="top"/>
    </xf>
    <xf numFmtId="0" fontId="6" fillId="0" borderId="0" xfId="0" applyFont="1"/>
    <xf numFmtId="2" fontId="0" fillId="2" borderId="1" xfId="0" applyNumberFormat="1" applyFill="1" applyBorder="1" applyAlignment="1">
      <alignment horizontal="right"/>
    </xf>
    <xf numFmtId="2" fontId="6" fillId="0" borderId="0" xfId="0" applyNumberFormat="1" applyFont="1" applyBorder="1" applyAlignment="1">
      <alignment horizontal="center"/>
    </xf>
    <xf numFmtId="2" fontId="0" fillId="0" borderId="0" xfId="0" applyNumberFormat="1" applyFill="1" applyBorder="1" applyAlignment="1">
      <alignment horizontal="center"/>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Border="1" applyAlignment="1">
      <alignment wrapText="1"/>
    </xf>
    <xf numFmtId="0" fontId="2" fillId="0" borderId="0" xfId="0" applyNumberFormat="1" applyFont="1" applyFill="1" applyBorder="1" applyAlignment="1">
      <alignment wrapText="1"/>
    </xf>
    <xf numFmtId="0" fontId="0" fillId="0" borderId="0" xfId="0" applyNumberFormat="1" applyBorder="1" applyAlignment="1">
      <alignment wrapText="1"/>
    </xf>
    <xf numFmtId="2" fontId="0" fillId="2" borderId="1" xfId="0" applyNumberFormat="1" applyFill="1" applyBorder="1" applyAlignment="1">
      <alignment horizontal="left"/>
    </xf>
    <xf numFmtId="0" fontId="6" fillId="2" borderId="1" xfId="0" applyFont="1" applyFill="1" applyBorder="1" applyAlignment="1"/>
    <xf numFmtId="0" fontId="6" fillId="0" borderId="0" xfId="0" applyFont="1" applyFill="1" applyBorder="1" applyAlignment="1">
      <alignment horizontal="right" vertical="top"/>
    </xf>
    <xf numFmtId="0" fontId="6" fillId="0" borderId="0" xfId="0" applyFont="1" applyAlignment="1"/>
    <xf numFmtId="2" fontId="6" fillId="0" borderId="0" xfId="0" applyNumberFormat="1" applyFont="1"/>
    <xf numFmtId="0" fontId="5" fillId="0" borderId="2" xfId="0" applyFont="1" applyBorder="1" applyAlignment="1">
      <alignment wrapText="1"/>
    </xf>
    <xf numFmtId="2" fontId="0" fillId="0" borderId="0" xfId="0" applyNumberFormat="1" applyFill="1"/>
    <xf numFmtId="2" fontId="0" fillId="0" borderId="0" xfId="0" applyNumberFormat="1" applyAlignment="1">
      <alignment horizontal="right"/>
    </xf>
    <xf numFmtId="0" fontId="0" fillId="0" borderId="0" xfId="0" applyFill="1" applyBorder="1" applyAlignment="1"/>
    <xf numFmtId="0" fontId="4" fillId="0" borderId="0" xfId="0" applyFont="1" applyBorder="1" applyAlignment="1">
      <alignment vertical="center" wrapText="1"/>
    </xf>
    <xf numFmtId="2" fontId="0" fillId="0" borderId="0" xfId="0" applyNumberFormat="1" applyFill="1" applyAlignment="1">
      <alignment horizontal="left"/>
    </xf>
    <xf numFmtId="2" fontId="0" fillId="0" borderId="0" xfId="0" applyNumberFormat="1" applyBorder="1" applyAlignment="1">
      <alignment horizontal="center"/>
    </xf>
    <xf numFmtId="0" fontId="12" fillId="0" borderId="0" xfId="0" applyFont="1" applyAlignment="1"/>
    <xf numFmtId="0" fontId="15" fillId="0" borderId="0" xfId="0" applyFont="1"/>
    <xf numFmtId="0" fontId="7" fillId="0" borderId="0" xfId="0" applyFont="1"/>
    <xf numFmtId="0" fontId="11" fillId="0" borderId="0" xfId="0" applyFont="1" applyAlignment="1">
      <alignment vertical="top" wrapText="1"/>
    </xf>
    <xf numFmtId="165" fontId="0" fillId="0" borderId="0" xfId="8" applyFont="1"/>
    <xf numFmtId="165" fontId="12" fillId="0" borderId="0" xfId="8" applyFont="1" applyAlignment="1"/>
    <xf numFmtId="165" fontId="7" fillId="0" borderId="0" xfId="8" applyFont="1"/>
    <xf numFmtId="165" fontId="0" fillId="2" borderId="1" xfId="8" applyFont="1" applyFill="1" applyBorder="1" applyAlignment="1">
      <alignment horizontal="left"/>
    </xf>
    <xf numFmtId="165" fontId="0" fillId="0" borderId="0" xfId="8" applyFont="1" applyBorder="1"/>
    <xf numFmtId="165" fontId="6" fillId="0" borderId="0" xfId="8" applyFont="1"/>
    <xf numFmtId="165" fontId="0" fillId="0" borderId="2" xfId="8" applyFont="1" applyBorder="1" applyAlignment="1">
      <alignment horizontal="right"/>
    </xf>
    <xf numFmtId="165" fontId="0" fillId="0" borderId="2" xfId="8" applyFont="1" applyBorder="1"/>
    <xf numFmtId="165" fontId="6" fillId="2" borderId="1" xfId="8" applyFont="1" applyFill="1" applyBorder="1" applyAlignment="1">
      <alignment horizontal="left"/>
    </xf>
    <xf numFmtId="165" fontId="6" fillId="0" borderId="0" xfId="8" applyFont="1" applyAlignment="1"/>
    <xf numFmtId="165" fontId="0" fillId="0" borderId="0" xfId="8" applyFont="1" applyFill="1"/>
    <xf numFmtId="165" fontId="7" fillId="0" borderId="0" xfId="8" applyFont="1" applyAlignment="1">
      <alignment horizontal="right"/>
    </xf>
    <xf numFmtId="165" fontId="0" fillId="0" borderId="0" xfId="8" applyFont="1" applyAlignment="1">
      <alignment horizontal="right"/>
    </xf>
    <xf numFmtId="0" fontId="0" fillId="0" borderId="0" xfId="0" applyFill="1" applyAlignment="1">
      <alignment horizontal="right"/>
    </xf>
    <xf numFmtId="165" fontId="0" fillId="0" borderId="0" xfId="8" applyFont="1" applyBorder="1" applyAlignment="1">
      <alignment horizontal="center"/>
    </xf>
    <xf numFmtId="0" fontId="0" fillId="0" borderId="0" xfId="0" applyAlignment="1">
      <alignment horizontal="right"/>
    </xf>
    <xf numFmtId="0" fontId="0" fillId="0" borderId="0" xfId="0" applyBorder="1" applyAlignment="1">
      <alignment horizontal="left" vertical="center" wrapText="1"/>
    </xf>
    <xf numFmtId="0" fontId="0" fillId="0" borderId="0" xfId="0" applyBorder="1" applyAlignment="1">
      <alignment horizontal="center"/>
    </xf>
    <xf numFmtId="0" fontId="6" fillId="0" borderId="0" xfId="0" applyFont="1" applyBorder="1" applyAlignment="1">
      <alignment horizontal="left" vertical="center" wrapText="1"/>
    </xf>
    <xf numFmtId="0" fontId="0" fillId="0" borderId="0" xfId="0" applyFill="1" applyBorder="1" applyAlignment="1">
      <alignment horizontal="center"/>
    </xf>
    <xf numFmtId="2" fontId="0" fillId="4" borderId="0" xfId="0" applyNumberFormat="1" applyFill="1" applyBorder="1" applyAlignment="1" applyProtection="1">
      <alignment horizontal="center"/>
      <protection locked="0"/>
    </xf>
    <xf numFmtId="2" fontId="6" fillId="4" borderId="0" xfId="0" applyNumberFormat="1" applyFont="1" applyFill="1" applyBorder="1" applyAlignment="1" applyProtection="1">
      <alignment horizontal="center"/>
      <protection locked="0"/>
    </xf>
    <xf numFmtId="2" fontId="0" fillId="4" borderId="0" xfId="0" applyNumberFormat="1" applyFill="1" applyBorder="1" applyProtection="1">
      <protection locked="0"/>
    </xf>
    <xf numFmtId="165" fontId="0" fillId="4" borderId="0" xfId="8" applyFont="1" applyFill="1" applyBorder="1" applyProtection="1">
      <protection locked="0"/>
    </xf>
    <xf numFmtId="165" fontId="0" fillId="4" borderId="0" xfId="8" applyFont="1" applyFill="1" applyProtection="1">
      <protection locked="0"/>
    </xf>
    <xf numFmtId="0" fontId="0" fillId="0" borderId="0" xfId="0" applyAlignment="1">
      <alignment horizontal="right" vertical="top"/>
    </xf>
    <xf numFmtId="2" fontId="0" fillId="4" borderId="0" xfId="0" applyNumberFormat="1" applyFill="1" applyProtection="1">
      <protection locked="0"/>
    </xf>
    <xf numFmtId="165" fontId="0" fillId="0" borderId="0" xfId="8" applyFont="1" applyAlignment="1">
      <alignment horizontal="right"/>
    </xf>
    <xf numFmtId="0" fontId="6" fillId="0" borderId="0" xfId="0" applyFont="1" applyBorder="1" applyAlignment="1">
      <alignment horizontal="left" vertical="center" wrapText="1"/>
    </xf>
    <xf numFmtId="165" fontId="0" fillId="2" borderId="1" xfId="8" applyFont="1" applyFill="1" applyBorder="1" applyAlignment="1">
      <alignment horizontal="right"/>
    </xf>
    <xf numFmtId="0" fontId="17" fillId="0" borderId="0" xfId="0" applyFont="1"/>
    <xf numFmtId="0" fontId="17" fillId="0" borderId="0" xfId="0" quotePrefix="1" applyFont="1"/>
    <xf numFmtId="165" fontId="0" fillId="0" borderId="0" xfId="8" applyFont="1" applyAlignment="1">
      <alignment horizontal="left"/>
    </xf>
    <xf numFmtId="165" fontId="0" fillId="0" borderId="0" xfId="8" applyFont="1" applyFill="1" applyBorder="1"/>
    <xf numFmtId="165" fontId="7" fillId="0" borderId="0" xfId="8" applyFont="1" applyBorder="1"/>
    <xf numFmtId="0" fontId="4" fillId="0" borderId="0" xfId="0" applyFont="1" applyFill="1" applyAlignment="1">
      <alignment vertical="top" wrapText="1"/>
    </xf>
    <xf numFmtId="0" fontId="6" fillId="0" borderId="2" xfId="0" applyFont="1" applyBorder="1" applyAlignment="1">
      <alignment horizontal="right" vertical="top"/>
    </xf>
    <xf numFmtId="0" fontId="6" fillId="0" borderId="0" xfId="0" applyFont="1" applyAlignment="1">
      <alignment horizontal="right" vertical="top"/>
    </xf>
    <xf numFmtId="0" fontId="6" fillId="0" borderId="0" xfId="0" applyFont="1" applyBorder="1" applyAlignment="1">
      <alignment vertical="center" wrapText="1"/>
    </xf>
    <xf numFmtId="0" fontId="22" fillId="0" borderId="0" xfId="0" applyFont="1" applyAlignment="1">
      <alignment horizontal="center"/>
    </xf>
    <xf numFmtId="0" fontId="13" fillId="0" borderId="0" xfId="0" applyFont="1"/>
    <xf numFmtId="0" fontId="13" fillId="0" borderId="0" xfId="0" applyFont="1" applyAlignment="1">
      <alignment horizontal="justify"/>
    </xf>
    <xf numFmtId="0" fontId="13" fillId="0" borderId="0" xfId="0" applyFont="1" applyAlignment="1">
      <alignment vertical="center" wrapText="1"/>
    </xf>
    <xf numFmtId="0" fontId="4" fillId="0" borderId="0" xfId="1" applyFont="1" applyFill="1" applyBorder="1" applyAlignment="1" applyProtection="1">
      <alignment vertical="top" wrapText="1"/>
    </xf>
    <xf numFmtId="0" fontId="13" fillId="0" borderId="0" xfId="0" applyFont="1" applyAlignment="1">
      <alignment wrapText="1"/>
    </xf>
    <xf numFmtId="0" fontId="23" fillId="0" borderId="0" xfId="0" applyFont="1"/>
    <xf numFmtId="165" fontId="6" fillId="0" borderId="0" xfId="0" applyNumberFormat="1" applyFont="1"/>
    <xf numFmtId="0" fontId="0" fillId="0" borderId="0" xfId="0"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165" fontId="0" fillId="3" borderId="0" xfId="8" applyFont="1" applyFill="1" applyBorder="1" applyAlignment="1">
      <alignment horizontal="center"/>
    </xf>
    <xf numFmtId="0" fontId="0" fillId="3" borderId="0" xfId="0" applyFill="1"/>
    <xf numFmtId="0" fontId="6" fillId="3" borderId="0" xfId="0" applyFont="1" applyFill="1" applyBorder="1" applyAlignment="1">
      <alignment horizontal="left" vertical="center" wrapText="1"/>
    </xf>
    <xf numFmtId="165" fontId="0" fillId="3" borderId="0" xfId="8" applyFont="1" applyFill="1"/>
    <xf numFmtId="0" fontId="24" fillId="0" borderId="0" xfId="0" applyFont="1" applyBorder="1" applyAlignment="1" applyProtection="1">
      <alignment vertical="center" wrapText="1"/>
      <protection locked="0"/>
    </xf>
    <xf numFmtId="0" fontId="4" fillId="0" borderId="0" xfId="0" applyFont="1" applyFill="1" applyBorder="1" applyAlignment="1" applyProtection="1">
      <alignment vertical="top" wrapText="1"/>
      <protection locked="0"/>
    </xf>
    <xf numFmtId="0" fontId="4" fillId="0" borderId="0" xfId="0" applyNumberFormat="1" applyFont="1" applyFill="1" applyBorder="1" applyAlignment="1" applyProtection="1">
      <alignment vertical="top" wrapText="1"/>
      <protection locked="0"/>
    </xf>
    <xf numFmtId="0" fontId="1" fillId="0" borderId="0" xfId="0" applyNumberFormat="1" applyFont="1" applyBorder="1" applyAlignment="1">
      <alignment wrapText="1"/>
    </xf>
    <xf numFmtId="0" fontId="27" fillId="0" borderId="0" xfId="0" applyFont="1" applyFill="1" applyBorder="1" applyAlignment="1">
      <alignment horizontal="left"/>
    </xf>
    <xf numFmtId="0" fontId="6" fillId="0" borderId="0" xfId="0" applyFont="1" applyBorder="1" applyAlignment="1">
      <alignment horizontal="left" vertical="center" wrapText="1"/>
    </xf>
    <xf numFmtId="0" fontId="0" fillId="0" borderId="0" xfId="0" applyAlignment="1">
      <alignment horizontal="right"/>
    </xf>
    <xf numFmtId="0" fontId="0" fillId="0" borderId="0" xfId="0" applyAlignment="1">
      <alignment horizontal="center"/>
    </xf>
    <xf numFmtId="0" fontId="4" fillId="3" borderId="0" xfId="0" applyFont="1" applyFill="1" applyBorder="1" applyAlignment="1">
      <alignment wrapText="1"/>
    </xf>
    <xf numFmtId="165" fontId="0" fillId="0" borderId="0" xfId="8" applyFont="1" applyAlignment="1">
      <alignment horizontal="right"/>
    </xf>
    <xf numFmtId="0" fontId="0" fillId="0" borderId="2" xfId="0"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right" wrapText="1"/>
    </xf>
    <xf numFmtId="0" fontId="4" fillId="0" borderId="0" xfId="0" applyFont="1" applyBorder="1" applyAlignment="1">
      <alignment horizontal="left" vertical="center" wrapText="1"/>
    </xf>
    <xf numFmtId="0" fontId="0" fillId="2" borderId="1" xfId="0" applyFill="1" applyBorder="1" applyAlignment="1">
      <alignment horizontal="center"/>
    </xf>
    <xf numFmtId="0" fontId="6" fillId="2" borderId="1" xfId="0" applyFont="1" applyFill="1" applyBorder="1" applyAlignment="1">
      <alignment horizontal="left"/>
    </xf>
    <xf numFmtId="2" fontId="6" fillId="0" borderId="2" xfId="0" applyNumberFormat="1" applyFont="1" applyBorder="1" applyAlignment="1">
      <alignment horizontal="right"/>
    </xf>
    <xf numFmtId="2" fontId="6" fillId="0" borderId="0" xfId="0" applyNumberFormat="1" applyFont="1" applyAlignment="1">
      <alignment horizontal="right"/>
    </xf>
    <xf numFmtId="0" fontId="6" fillId="0" borderId="0" xfId="0" applyFont="1" applyFill="1" applyBorder="1" applyAlignment="1">
      <alignment horizontal="center" vertical="top"/>
    </xf>
    <xf numFmtId="0" fontId="0" fillId="0" borderId="0" xfId="0" applyFill="1" applyBorder="1" applyAlignment="1">
      <alignment horizontal="center"/>
    </xf>
    <xf numFmtId="165" fontId="0" fillId="4" borderId="0" xfId="8" applyFont="1" applyFill="1" applyAlignment="1" applyProtection="1">
      <alignment horizontal="center"/>
      <protection locked="0"/>
    </xf>
    <xf numFmtId="165" fontId="0" fillId="0" borderId="0" xfId="8" applyFont="1" applyAlignment="1">
      <alignment horizontal="right"/>
    </xf>
    <xf numFmtId="0" fontId="0" fillId="0" borderId="0" xfId="0" applyAlignment="1">
      <alignment horizontal="right"/>
    </xf>
    <xf numFmtId="0" fontId="0" fillId="0" borderId="0" xfId="0" applyAlignment="1">
      <alignment horizontal="center"/>
    </xf>
    <xf numFmtId="165" fontId="0" fillId="0" borderId="0" xfId="8" applyFont="1" applyAlignment="1">
      <alignment horizontal="center"/>
    </xf>
    <xf numFmtId="0" fontId="0" fillId="0" borderId="0" xfId="0" applyBorder="1" applyAlignment="1">
      <alignment horizontal="left" vertical="center" wrapText="1"/>
    </xf>
    <xf numFmtId="0" fontId="0" fillId="0" borderId="0" xfId="0" applyBorder="1" applyAlignment="1">
      <alignment horizontal="center"/>
    </xf>
    <xf numFmtId="0" fontId="0" fillId="5" borderId="0" xfId="0" applyFill="1"/>
    <xf numFmtId="168" fontId="28" fillId="0" borderId="0" xfId="0" applyNumberFormat="1" applyFont="1" applyAlignment="1">
      <alignment horizontal="left" vertical="top" wrapText="1"/>
    </xf>
    <xf numFmtId="0" fontId="0" fillId="3" borderId="0" xfId="0" applyFill="1" applyBorder="1" applyAlignment="1">
      <alignment horizontal="left" vertical="center" wrapText="1"/>
    </xf>
    <xf numFmtId="0" fontId="11" fillId="0" borderId="0" xfId="0" applyFont="1" applyAlignment="1">
      <alignment horizontal="left" vertical="top" wrapText="1"/>
    </xf>
    <xf numFmtId="0" fontId="12" fillId="0" borderId="0" xfId="0" applyFont="1" applyAlignment="1">
      <alignment horizontal="center" wrapText="1"/>
    </xf>
    <xf numFmtId="0" fontId="0" fillId="2" borderId="1" xfId="0" applyFill="1" applyBorder="1" applyAlignment="1">
      <alignment horizontal="center" wrapText="1"/>
    </xf>
    <xf numFmtId="0" fontId="0" fillId="0" borderId="0" xfId="0" applyFill="1" applyBorder="1" applyAlignment="1">
      <alignment horizontal="center" vertical="top"/>
    </xf>
    <xf numFmtId="0" fontId="0" fillId="0" borderId="3" xfId="0" applyFill="1" applyBorder="1" applyAlignment="1">
      <alignment horizontal="center" vertical="top"/>
    </xf>
    <xf numFmtId="0" fontId="6" fillId="0" borderId="0" xfId="0" applyFont="1" applyFill="1" applyBorder="1" applyAlignment="1">
      <alignment horizontal="center" vertical="top"/>
    </xf>
    <xf numFmtId="0" fontId="0" fillId="0" borderId="0" xfId="0" applyAlignment="1">
      <alignment horizontal="center"/>
    </xf>
    <xf numFmtId="165" fontId="0" fillId="0" borderId="0" xfId="8" applyFont="1" applyAlignment="1">
      <alignment horizontal="center"/>
    </xf>
    <xf numFmtId="165" fontId="0" fillId="4" borderId="0" xfId="8" applyFont="1" applyFill="1" applyAlignment="1" applyProtection="1">
      <alignment horizontal="center"/>
      <protection locked="0"/>
    </xf>
    <xf numFmtId="165" fontId="0" fillId="0" borderId="0" xfId="8" applyFont="1" applyBorder="1" applyAlignment="1">
      <alignment horizontal="center"/>
    </xf>
    <xf numFmtId="0" fontId="0" fillId="0" borderId="0" xfId="0" applyFill="1" applyBorder="1" applyAlignment="1">
      <alignment horizontal="center"/>
    </xf>
    <xf numFmtId="165" fontId="0" fillId="0" borderId="0" xfId="8" applyFont="1" applyFill="1" applyBorder="1" applyAlignment="1">
      <alignment horizontal="center"/>
    </xf>
    <xf numFmtId="165" fontId="0" fillId="4" borderId="0" xfId="8" applyFont="1" applyFill="1" applyBorder="1" applyAlignment="1" applyProtection="1">
      <alignment horizontal="center"/>
      <protection locked="0"/>
    </xf>
    <xf numFmtId="0" fontId="6" fillId="0" borderId="0" xfId="0" applyFont="1" applyFill="1" applyBorder="1" applyAlignment="1">
      <alignment horizontal="right" vertical="top"/>
    </xf>
    <xf numFmtId="0" fontId="6" fillId="0" borderId="0" xfId="0" applyFont="1" applyBorder="1" applyAlignment="1">
      <alignment horizontal="left" vertical="center" wrapText="1"/>
    </xf>
    <xf numFmtId="0" fontId="6" fillId="2" borderId="1" xfId="0" applyFont="1" applyFill="1" applyBorder="1" applyAlignment="1">
      <alignment horizontal="center" wrapText="1"/>
    </xf>
    <xf numFmtId="0" fontId="0" fillId="0" borderId="0" xfId="0" applyFill="1" applyAlignment="1">
      <alignment horizontal="right"/>
    </xf>
    <xf numFmtId="165" fontId="0" fillId="0" borderId="0" xfId="8" applyFont="1" applyFill="1" applyAlignment="1">
      <alignment horizontal="center"/>
    </xf>
    <xf numFmtId="165" fontId="0" fillId="0" borderId="0" xfId="8" applyFont="1" applyAlignment="1">
      <alignment horizontal="right"/>
    </xf>
  </cellXfs>
  <cellStyles count="24">
    <cellStyle name="Navadno" xfId="0" builtinId="0"/>
    <cellStyle name="Navadno 10 2" xfId="22"/>
    <cellStyle name="Navadno 105 2" xfId="20"/>
    <cellStyle name="Navadno 122 2" xfId="21"/>
    <cellStyle name="Navadno 16 2" xfId="5"/>
    <cellStyle name="Navadno 2" xfId="6"/>
    <cellStyle name="Navadno 2 2" xfId="1"/>
    <cellStyle name="Navadno 2 3" xfId="16"/>
    <cellStyle name="Navadno 2 4" xfId="9"/>
    <cellStyle name="Navadno 29" xfId="3"/>
    <cellStyle name="Navadno 3" xfId="19"/>
    <cellStyle name="Navadno 30 2" xfId="4"/>
    <cellStyle name="Navadno 4" xfId="23"/>
    <cellStyle name="Navadno 4 2" xfId="14"/>
    <cellStyle name="Navadno 4 3" xfId="18"/>
    <cellStyle name="Navadno 7" xfId="15"/>
    <cellStyle name="Neoplan" xfId="2"/>
    <cellStyle name="Normal_JES-popis ogrevanje-PGD" xfId="10"/>
    <cellStyle name="Odstotek 2" xfId="17"/>
    <cellStyle name="Slog 1" xfId="11"/>
    <cellStyle name="Valuta 2" xfId="7"/>
    <cellStyle name="Valuta 3" xfId="12"/>
    <cellStyle name="Vejica" xfId="8" builtinId="3"/>
    <cellStyle name="Vejica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F31"/>
  <sheetViews>
    <sheetView view="pageBreakPreview" zoomScale="80" zoomScaleNormal="100" zoomScaleSheetLayoutView="80" workbookViewId="0">
      <selection sqref="A1:XFD1048576"/>
    </sheetView>
  </sheetViews>
  <sheetFormatPr defaultRowHeight="14.4" x14ac:dyDescent="0.3"/>
  <cols>
    <col min="1" max="1" width="14.5546875" customWidth="1"/>
    <col min="2" max="2" width="39.33203125" customWidth="1"/>
    <col min="3" max="3" width="20.109375" style="61" customWidth="1"/>
  </cols>
  <sheetData>
    <row r="2" spans="1:6" x14ac:dyDescent="0.3">
      <c r="A2" s="57" t="s">
        <v>204</v>
      </c>
      <c r="B2" s="57" t="s">
        <v>205</v>
      </c>
    </row>
    <row r="3" spans="1:6" x14ac:dyDescent="0.3">
      <c r="A3" s="57"/>
      <c r="B3" s="57" t="s">
        <v>206</v>
      </c>
    </row>
    <row r="5" spans="1:6" x14ac:dyDescent="0.3">
      <c r="A5" s="57"/>
      <c r="B5" s="57"/>
      <c r="C5" s="62"/>
      <c r="D5" s="57"/>
      <c r="E5" s="57"/>
      <c r="F5" s="57"/>
    </row>
    <row r="6" spans="1:6" ht="15" customHeight="1" x14ac:dyDescent="0.3">
      <c r="A6" s="146" t="s">
        <v>169</v>
      </c>
      <c r="B6" s="145" t="s">
        <v>170</v>
      </c>
      <c r="C6" s="145"/>
      <c r="D6" s="60"/>
      <c r="E6" s="60"/>
      <c r="F6" s="60"/>
    </row>
    <row r="7" spans="1:6" x14ac:dyDescent="0.3">
      <c r="A7" s="146"/>
      <c r="B7" s="145"/>
      <c r="C7" s="145"/>
      <c r="D7" s="60"/>
      <c r="E7" s="60"/>
      <c r="F7" s="60"/>
    </row>
    <row r="11" spans="1:6" ht="23.4" x14ac:dyDescent="0.45">
      <c r="B11" s="58" t="s">
        <v>171</v>
      </c>
    </row>
    <row r="13" spans="1:6" x14ac:dyDescent="0.3">
      <c r="A13" s="59" t="s">
        <v>172</v>
      </c>
      <c r="B13" s="59" t="s">
        <v>173</v>
      </c>
      <c r="C13" s="63">
        <f>+C15+C16</f>
        <v>0</v>
      </c>
      <c r="D13" s="59"/>
      <c r="E13" s="59"/>
      <c r="F13" s="59"/>
    </row>
    <row r="15" spans="1:6" x14ac:dyDescent="0.3">
      <c r="A15" t="s">
        <v>174</v>
      </c>
      <c r="B15" t="s">
        <v>0</v>
      </c>
      <c r="C15" s="61">
        <f>'RUŠITVENA DELA'!F42</f>
        <v>0</v>
      </c>
    </row>
    <row r="16" spans="1:6" x14ac:dyDescent="0.3">
      <c r="A16" t="s">
        <v>175</v>
      </c>
      <c r="B16" t="s">
        <v>12</v>
      </c>
      <c r="C16" s="61">
        <f>'ZIDARSKA DELA'!F32</f>
        <v>0</v>
      </c>
    </row>
    <row r="18" spans="1:6" x14ac:dyDescent="0.3">
      <c r="A18" s="59" t="s">
        <v>176</v>
      </c>
      <c r="B18" s="59" t="s">
        <v>177</v>
      </c>
      <c r="C18" s="63">
        <f>+SUM(C20:C27)</f>
        <v>0</v>
      </c>
      <c r="D18" s="59"/>
      <c r="E18" s="59"/>
      <c r="F18" s="59"/>
    </row>
    <row r="20" spans="1:6" x14ac:dyDescent="0.3">
      <c r="A20" t="s">
        <v>178</v>
      </c>
      <c r="B20" t="s">
        <v>18</v>
      </c>
      <c r="C20" s="61">
        <f>'STAVBNO POHIŠTVO'!F58</f>
        <v>0</v>
      </c>
    </row>
    <row r="21" spans="1:6" x14ac:dyDescent="0.3">
      <c r="A21" t="s">
        <v>179</v>
      </c>
      <c r="B21" t="s">
        <v>180</v>
      </c>
      <c r="C21" s="61">
        <f>'SUHO MONTAŽNA DELA'!F23</f>
        <v>0</v>
      </c>
    </row>
    <row r="22" spans="1:6" x14ac:dyDescent="0.3">
      <c r="A22" t="s">
        <v>181</v>
      </c>
      <c r="B22" t="s">
        <v>167</v>
      </c>
      <c r="C22" s="61">
        <f>'STEKLARSKA DELA'!F11</f>
        <v>0</v>
      </c>
    </row>
    <row r="23" spans="1:6" x14ac:dyDescent="0.3">
      <c r="A23" t="s">
        <v>182</v>
      </c>
      <c r="B23" t="s">
        <v>22</v>
      </c>
      <c r="C23" s="61">
        <f>'KERAMIČARSKA DELA'!F24</f>
        <v>0</v>
      </c>
    </row>
    <row r="24" spans="1:6" x14ac:dyDescent="0.3">
      <c r="A24" t="s">
        <v>183</v>
      </c>
      <c r="B24" t="s">
        <v>33</v>
      </c>
      <c r="C24" s="61">
        <f>'TLAKARSKA DELA'!F14</f>
        <v>0</v>
      </c>
    </row>
    <row r="25" spans="1:6" x14ac:dyDescent="0.3">
      <c r="A25" t="s">
        <v>184</v>
      </c>
      <c r="B25" t="s">
        <v>35</v>
      </c>
      <c r="C25" s="61">
        <f>'SLIKOPLESKARSKA DELA'!F10</f>
        <v>0</v>
      </c>
    </row>
    <row r="26" spans="1:6" x14ac:dyDescent="0.3">
      <c r="A26" t="s">
        <v>185</v>
      </c>
      <c r="B26" t="s">
        <v>73</v>
      </c>
      <c r="C26" s="61">
        <f>DVIGALO!F5</f>
        <v>0</v>
      </c>
    </row>
    <row r="27" spans="1:6" x14ac:dyDescent="0.3">
      <c r="A27" t="s">
        <v>318</v>
      </c>
      <c r="B27" t="s">
        <v>186</v>
      </c>
      <c r="C27" s="61">
        <f>RAZNO!F6</f>
        <v>0</v>
      </c>
    </row>
    <row r="30" spans="1:6" x14ac:dyDescent="0.3">
      <c r="B30" s="59" t="s">
        <v>11</v>
      </c>
      <c r="C30" s="63">
        <f>C13+C18</f>
        <v>0</v>
      </c>
    </row>
    <row r="31" spans="1:6" x14ac:dyDescent="0.3">
      <c r="C31" s="63"/>
    </row>
  </sheetData>
  <sheetProtection algorithmName="SHA-512" hashValue="i3ZaSlH9N+dDy8TFkS7YkY3a8A6RQ/1S3Vfm9563wNXnds5RxFgONOmXjFU+LJGsy2G2HtY4NOxZXaLKX+FzCA==" saltValue="UO84CIkTu7XYcIZ7PjyNCg==" spinCount="100000" sheet="1" objects="1" scenarios="1" selectLockedCells="1"/>
  <mergeCells count="2">
    <mergeCell ref="B6:C7"/>
    <mergeCell ref="A6:A7"/>
  </mergeCells>
  <pageMargins left="0.7" right="0.7" top="0.75" bottom="0.75" header="0.3" footer="0.3"/>
  <pageSetup paperSize="9" orientation="portrait"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1"/>
  <sheetViews>
    <sheetView view="pageBreakPreview" zoomScale="90" zoomScaleNormal="100" zoomScaleSheetLayoutView="90" workbookViewId="0">
      <selection sqref="A1:XFD1048576"/>
    </sheetView>
  </sheetViews>
  <sheetFormatPr defaultRowHeight="14.4" x14ac:dyDescent="0.3"/>
  <cols>
    <col min="1" max="1" width="2.6640625" bestFit="1" customWidth="1"/>
    <col min="2" max="2" width="42" customWidth="1"/>
    <col min="3" max="3" width="7.5546875" bestFit="1" customWidth="1"/>
    <col min="4" max="4" width="9.109375" style="61"/>
    <col min="5" max="6" width="13.6640625" style="61" bestFit="1" customWidth="1"/>
  </cols>
  <sheetData>
    <row r="1" spans="1:6" x14ac:dyDescent="0.3">
      <c r="A1" s="147" t="s">
        <v>167</v>
      </c>
      <c r="B1" s="147"/>
      <c r="C1" s="6" t="s">
        <v>1</v>
      </c>
      <c r="D1" s="64" t="s">
        <v>2</v>
      </c>
      <c r="E1" s="64" t="s">
        <v>4</v>
      </c>
      <c r="F1" s="64" t="s">
        <v>11</v>
      </c>
    </row>
    <row r="2" spans="1:6" x14ac:dyDescent="0.3">
      <c r="B2" s="2"/>
    </row>
    <row r="3" spans="1:6" x14ac:dyDescent="0.3">
      <c r="B3" s="77" t="s">
        <v>5</v>
      </c>
    </row>
    <row r="4" spans="1:6" x14ac:dyDescent="0.3">
      <c r="B4" s="77"/>
    </row>
    <row r="5" spans="1:6" ht="28.8" x14ac:dyDescent="0.3">
      <c r="B5" s="7" t="s">
        <v>20</v>
      </c>
    </row>
    <row r="6" spans="1:6" x14ac:dyDescent="0.3">
      <c r="B6" s="77"/>
    </row>
    <row r="7" spans="1:6" ht="72" x14ac:dyDescent="0.3">
      <c r="B7" s="77" t="s">
        <v>61</v>
      </c>
    </row>
    <row r="9" spans="1:6" s="112" customFormat="1" ht="115.2" x14ac:dyDescent="0.3">
      <c r="A9" s="112">
        <v>1</v>
      </c>
      <c r="B9" s="113" t="s">
        <v>72</v>
      </c>
      <c r="C9" s="112" t="s">
        <v>9</v>
      </c>
      <c r="D9" s="114">
        <v>1.55</v>
      </c>
      <c r="E9" s="85"/>
      <c r="F9" s="114">
        <f>+E9*D9</f>
        <v>0</v>
      </c>
    </row>
    <row r="10" spans="1:6" ht="15" thickBot="1" x14ac:dyDescent="0.35">
      <c r="A10" s="22"/>
      <c r="B10" s="21"/>
      <c r="C10" s="22"/>
      <c r="D10" s="67"/>
      <c r="E10" s="68"/>
      <c r="F10" s="68"/>
    </row>
    <row r="11" spans="1:6" ht="15" thickTop="1" x14ac:dyDescent="0.3">
      <c r="A11" s="76"/>
      <c r="B11" s="26" t="s">
        <v>147</v>
      </c>
      <c r="C11" s="76"/>
      <c r="D11" s="73"/>
      <c r="F11" s="61">
        <f>+F9</f>
        <v>0</v>
      </c>
    </row>
  </sheetData>
  <sheetProtection algorithmName="SHA-512" hashValue="wVNibBvc6e6Qi4fN53X/zJMHUVNggm+AERjw2z26D1ekznXymRtAYQfMhJHe/VaPldZDbUaVWhCI4cu3WVxdbg==" saltValue="aXHgrgJx6Gkb2S508O4Kng==" spinCount="100000" sheet="1" objects="1" scenarios="1"/>
  <mergeCells count="1">
    <mergeCell ref="A1:B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0"/>
  <sheetViews>
    <sheetView view="pageBreakPreview" zoomScale="70" zoomScaleNormal="100" zoomScaleSheetLayoutView="70" workbookViewId="0">
      <selection sqref="A1:XFD1048576"/>
    </sheetView>
  </sheetViews>
  <sheetFormatPr defaultColWidth="9.109375" defaultRowHeight="14.4" x14ac:dyDescent="0.3"/>
  <cols>
    <col min="1" max="1" width="3.88671875" style="35" bestFit="1" customWidth="1"/>
    <col min="2" max="2" width="41" style="14" customWidth="1"/>
    <col min="3" max="3" width="6.88671875" style="35" bestFit="1" customWidth="1"/>
    <col min="4" max="4" width="9" style="66" customWidth="1"/>
    <col min="5" max="5" width="13" style="66" customWidth="1"/>
    <col min="6" max="6" width="13.5546875" style="66" customWidth="1"/>
    <col min="7" max="16384" width="9.109375" style="35"/>
  </cols>
  <sheetData>
    <row r="1" spans="1:12" x14ac:dyDescent="0.3">
      <c r="A1" s="160" t="s">
        <v>22</v>
      </c>
      <c r="B1" s="160"/>
      <c r="C1" s="46" t="s">
        <v>1</v>
      </c>
      <c r="D1" s="69" t="s">
        <v>2</v>
      </c>
      <c r="E1" s="69" t="s">
        <v>4</v>
      </c>
      <c r="F1" s="69" t="s">
        <v>11</v>
      </c>
    </row>
    <row r="3" spans="1:12" x14ac:dyDescent="0.3">
      <c r="B3" s="79" t="s">
        <v>5</v>
      </c>
    </row>
    <row r="4" spans="1:12" x14ac:dyDescent="0.3">
      <c r="B4" s="18"/>
    </row>
    <row r="5" spans="1:12" ht="28.8" x14ac:dyDescent="0.3">
      <c r="B5" s="79" t="s">
        <v>20</v>
      </c>
    </row>
    <row r="6" spans="1:12" x14ac:dyDescent="0.3">
      <c r="B6" s="79"/>
    </row>
    <row r="7" spans="1:12" ht="115.2" x14ac:dyDescent="0.3">
      <c r="B7" s="79" t="s">
        <v>23</v>
      </c>
    </row>
    <row r="8" spans="1:12" x14ac:dyDescent="0.3">
      <c r="A8" s="48"/>
      <c r="B8" s="48"/>
      <c r="C8" s="48"/>
      <c r="D8" s="70"/>
      <c r="E8" s="70"/>
      <c r="F8" s="70"/>
    </row>
    <row r="9" spans="1:12" ht="57.6" x14ac:dyDescent="0.3">
      <c r="A9" s="161">
        <v>1</v>
      </c>
      <c r="B9" s="16" t="s">
        <v>160</v>
      </c>
      <c r="C9" s="161" t="s">
        <v>9</v>
      </c>
      <c r="D9" s="162">
        <v>345</v>
      </c>
      <c r="E9" s="153"/>
      <c r="F9" s="163">
        <f>+E9*D9</f>
        <v>0</v>
      </c>
    </row>
    <row r="10" spans="1:12" ht="43.2" x14ac:dyDescent="0.3">
      <c r="A10" s="161"/>
      <c r="B10" s="16" t="s">
        <v>24</v>
      </c>
      <c r="C10" s="161"/>
      <c r="D10" s="162"/>
      <c r="E10" s="153"/>
      <c r="F10" s="163"/>
    </row>
    <row r="11" spans="1:12" ht="28.8" x14ac:dyDescent="0.3">
      <c r="A11" s="161"/>
      <c r="B11" s="16" t="s">
        <v>25</v>
      </c>
      <c r="C11" s="161"/>
      <c r="D11" s="162"/>
      <c r="E11" s="153"/>
      <c r="F11" s="163"/>
    </row>
    <row r="12" spans="1:12" ht="57.6" x14ac:dyDescent="0.3">
      <c r="A12" s="161"/>
      <c r="B12" s="16" t="s">
        <v>26</v>
      </c>
      <c r="C12" s="161"/>
      <c r="D12" s="162"/>
      <c r="E12" s="153"/>
      <c r="F12" s="163"/>
      <c r="J12" s="107"/>
      <c r="L12" s="107"/>
    </row>
    <row r="13" spans="1:12" x14ac:dyDescent="0.3">
      <c r="A13" s="161"/>
      <c r="B13" s="16" t="s">
        <v>27</v>
      </c>
      <c r="C13" s="161"/>
      <c r="D13" s="162"/>
      <c r="E13" s="153"/>
      <c r="F13" s="163"/>
      <c r="L13" s="107"/>
    </row>
    <row r="14" spans="1:12" ht="28.8" x14ac:dyDescent="0.3">
      <c r="A14" s="161"/>
      <c r="B14" s="16" t="s">
        <v>28</v>
      </c>
      <c r="C14" s="161"/>
      <c r="D14" s="162"/>
      <c r="E14" s="153"/>
      <c r="F14" s="163"/>
      <c r="L14" s="107"/>
    </row>
    <row r="15" spans="1:12" ht="57.6" x14ac:dyDescent="0.3">
      <c r="A15" s="161">
        <v>2</v>
      </c>
      <c r="B15" s="16" t="s">
        <v>161</v>
      </c>
      <c r="C15" s="161" t="s">
        <v>9</v>
      </c>
      <c r="D15" s="162">
        <v>90</v>
      </c>
      <c r="E15" s="153"/>
      <c r="F15" s="163">
        <f>D15*E15</f>
        <v>0</v>
      </c>
      <c r="L15" s="107"/>
    </row>
    <row r="16" spans="1:12" x14ac:dyDescent="0.3">
      <c r="A16" s="161"/>
      <c r="B16" s="16" t="s">
        <v>29</v>
      </c>
      <c r="C16" s="161"/>
      <c r="D16" s="162"/>
      <c r="E16" s="153"/>
      <c r="F16" s="163"/>
      <c r="L16" s="107"/>
    </row>
    <row r="17" spans="1:13" ht="43.2" x14ac:dyDescent="0.3">
      <c r="A17" s="161"/>
      <c r="B17" s="16" t="s">
        <v>30</v>
      </c>
      <c r="C17" s="161"/>
      <c r="D17" s="162"/>
      <c r="E17" s="153"/>
      <c r="F17" s="163"/>
      <c r="L17" s="107"/>
    </row>
    <row r="18" spans="1:13" x14ac:dyDescent="0.3">
      <c r="A18" s="161"/>
      <c r="B18" s="16" t="s">
        <v>31</v>
      </c>
      <c r="C18" s="161"/>
      <c r="D18" s="162"/>
      <c r="E18" s="153"/>
      <c r="F18" s="163"/>
    </row>
    <row r="19" spans="1:13" ht="57.6" x14ac:dyDescent="0.3">
      <c r="A19" s="161"/>
      <c r="B19" s="16" t="s">
        <v>26</v>
      </c>
      <c r="C19" s="161"/>
      <c r="D19" s="162"/>
      <c r="E19" s="153"/>
      <c r="F19" s="163"/>
      <c r="M19" s="107"/>
    </row>
    <row r="20" spans="1:13" x14ac:dyDescent="0.3">
      <c r="A20" s="161"/>
      <c r="B20" s="16" t="s">
        <v>254</v>
      </c>
      <c r="C20" s="161"/>
      <c r="D20" s="162"/>
      <c r="E20" s="153"/>
      <c r="F20" s="163"/>
    </row>
    <row r="21" spans="1:13" ht="48.6" customHeight="1" x14ac:dyDescent="0.3">
      <c r="A21" s="161"/>
      <c r="B21" s="16" t="s">
        <v>28</v>
      </c>
      <c r="C21" s="161"/>
      <c r="D21" s="162"/>
      <c r="E21" s="153"/>
      <c r="F21" s="163"/>
    </row>
    <row r="22" spans="1:13" ht="43.2" x14ac:dyDescent="0.3">
      <c r="A22" s="74">
        <v>3</v>
      </c>
      <c r="B22" s="19" t="s">
        <v>162</v>
      </c>
      <c r="C22" s="74" t="s">
        <v>32</v>
      </c>
      <c r="D22" s="71">
        <v>170</v>
      </c>
      <c r="E22" s="85"/>
      <c r="F22" s="73">
        <f>+D22*E22</f>
        <v>0</v>
      </c>
    </row>
    <row r="23" spans="1:13" ht="15" thickBot="1" x14ac:dyDescent="0.35">
      <c r="A23" s="22"/>
      <c r="B23" s="21"/>
      <c r="C23" s="22"/>
      <c r="D23" s="67"/>
      <c r="E23" s="68"/>
      <c r="F23" s="67"/>
    </row>
    <row r="24" spans="1:13" ht="15" thickTop="1" x14ac:dyDescent="0.3">
      <c r="A24" s="76"/>
      <c r="B24" s="26" t="s">
        <v>163</v>
      </c>
      <c r="C24" s="76"/>
      <c r="D24" s="73"/>
      <c r="E24" s="61"/>
      <c r="F24" s="72">
        <f>+SUM(F4:F22)</f>
        <v>0</v>
      </c>
    </row>
    <row r="25" spans="1:13" x14ac:dyDescent="0.3">
      <c r="A25" s="74"/>
      <c r="B25" s="19"/>
      <c r="C25" s="74"/>
      <c r="D25" s="71"/>
      <c r="E25" s="61"/>
      <c r="F25" s="73"/>
    </row>
    <row r="26" spans="1:13" x14ac:dyDescent="0.3">
      <c r="A26" s="74"/>
      <c r="B26" s="19"/>
      <c r="C26" s="74"/>
      <c r="D26" s="71"/>
      <c r="E26" s="61"/>
      <c r="F26" s="73"/>
    </row>
    <row r="27" spans="1:13" x14ac:dyDescent="0.3">
      <c r="B27" s="35"/>
    </row>
    <row r="28" spans="1:13" x14ac:dyDescent="0.3">
      <c r="B28" s="35"/>
    </row>
    <row r="29" spans="1:13" x14ac:dyDescent="0.3">
      <c r="B29" s="35"/>
    </row>
    <row r="30" spans="1:13" x14ac:dyDescent="0.3">
      <c r="A30" s="76"/>
      <c r="B30" s="10"/>
      <c r="C30" s="76"/>
      <c r="D30" s="61"/>
      <c r="E30" s="61"/>
      <c r="F30" s="73"/>
    </row>
  </sheetData>
  <sheetProtection algorithmName="SHA-512" hashValue="sJuPBcbaqQYxy7tC4y1X1W1gNo1XWePNB5480gCCrd2VarK0cRSKMTLZMXwmPvZrDTL/UUohZNoTd+tl+4uGfg==" saltValue="qfH80bapCaxuExQbNu7KMw==" spinCount="100000" sheet="1" objects="1" scenarios="1"/>
  <mergeCells count="11">
    <mergeCell ref="F9:F14"/>
    <mergeCell ref="F15:F21"/>
    <mergeCell ref="A15:A21"/>
    <mergeCell ref="C15:C21"/>
    <mergeCell ref="D15:D21"/>
    <mergeCell ref="E15:E21"/>
    <mergeCell ref="A1:B1"/>
    <mergeCell ref="A9:A14"/>
    <mergeCell ref="C9:C14"/>
    <mergeCell ref="D9:D14"/>
    <mergeCell ref="E9:E14"/>
  </mergeCells>
  <pageMargins left="0.7" right="0.7" top="0.75" bottom="0.75" header="0.3" footer="0.3"/>
  <pageSetup paperSize="9" orientation="portrait" horizont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P15" sqref="P15"/>
    </sheetView>
  </sheetViews>
  <sheetFormatPr defaultColWidth="9.109375" defaultRowHeight="14.4" x14ac:dyDescent="0.3"/>
  <cols>
    <col min="1" max="1" width="17" style="91" bestFit="1" customWidth="1"/>
    <col min="2" max="16384" width="9.109375" style="91"/>
  </cols>
  <sheetData>
    <row r="1" spans="1:7" x14ac:dyDescent="0.3">
      <c r="A1" s="91" t="s">
        <v>83</v>
      </c>
      <c r="D1" s="91" t="s">
        <v>89</v>
      </c>
      <c r="G1" s="91" t="s">
        <v>90</v>
      </c>
    </row>
    <row r="2" spans="1:7" x14ac:dyDescent="0.3">
      <c r="A2" s="91" t="s">
        <v>36</v>
      </c>
      <c r="B2" s="91">
        <v>2.5</v>
      </c>
      <c r="D2" s="91" t="s">
        <v>87</v>
      </c>
      <c r="E2" s="91">
        <f>+(1.5*2+2.44*2)*2.4</f>
        <v>18.911999999999999</v>
      </c>
      <c r="G2" s="91">
        <f>1.65*2+1.55*2</f>
        <v>6.4</v>
      </c>
    </row>
    <row r="3" spans="1:7" x14ac:dyDescent="0.3">
      <c r="A3" s="91" t="s">
        <v>37</v>
      </c>
      <c r="B3" s="91">
        <v>2.5</v>
      </c>
      <c r="D3" s="91" t="s">
        <v>38</v>
      </c>
      <c r="E3" s="91">
        <f>+(1.5*2+1.7*2)*2.4</f>
        <v>15.36</v>
      </c>
      <c r="G3" s="91">
        <f t="shared" ref="G3:G13" si="0">1.65*2+1.55*2</f>
        <v>6.4</v>
      </c>
    </row>
    <row r="4" spans="1:7" x14ac:dyDescent="0.3">
      <c r="A4" s="91" t="s">
        <v>38</v>
      </c>
      <c r="B4" s="91">
        <v>2.5</v>
      </c>
      <c r="D4" s="91" t="s">
        <v>39</v>
      </c>
      <c r="E4" s="91">
        <f t="shared" ref="E4:E17" si="1">+(1.5*2+1.7*2)*2.4</f>
        <v>15.36</v>
      </c>
      <c r="G4" s="91">
        <f t="shared" si="0"/>
        <v>6.4</v>
      </c>
    </row>
    <row r="5" spans="1:7" x14ac:dyDescent="0.3">
      <c r="A5" s="91" t="s">
        <v>39</v>
      </c>
      <c r="B5" s="91">
        <v>2.5</v>
      </c>
      <c r="D5" s="91" t="s">
        <v>40</v>
      </c>
      <c r="E5" s="91">
        <f t="shared" si="1"/>
        <v>15.36</v>
      </c>
      <c r="G5" s="91">
        <f t="shared" si="0"/>
        <v>6.4</v>
      </c>
    </row>
    <row r="6" spans="1:7" x14ac:dyDescent="0.3">
      <c r="A6" s="91" t="s">
        <v>40</v>
      </c>
      <c r="B6" s="91">
        <v>2.5</v>
      </c>
      <c r="D6" s="91" t="s">
        <v>41</v>
      </c>
      <c r="E6" s="91">
        <f t="shared" si="1"/>
        <v>15.36</v>
      </c>
      <c r="G6" s="91">
        <f t="shared" si="0"/>
        <v>6.4</v>
      </c>
    </row>
    <row r="7" spans="1:7" x14ac:dyDescent="0.3">
      <c r="A7" s="91" t="s">
        <v>41</v>
      </c>
      <c r="B7" s="91">
        <v>2.5</v>
      </c>
      <c r="D7" s="91" t="s">
        <v>42</v>
      </c>
      <c r="E7" s="91">
        <f t="shared" si="1"/>
        <v>15.36</v>
      </c>
      <c r="G7" s="91">
        <f t="shared" si="0"/>
        <v>6.4</v>
      </c>
    </row>
    <row r="8" spans="1:7" x14ac:dyDescent="0.3">
      <c r="A8" s="91" t="s">
        <v>42</v>
      </c>
      <c r="B8" s="91">
        <v>2.5</v>
      </c>
      <c r="D8" s="91" t="s">
        <v>43</v>
      </c>
      <c r="E8" s="91">
        <f t="shared" si="1"/>
        <v>15.36</v>
      </c>
      <c r="G8" s="91">
        <f t="shared" si="0"/>
        <v>6.4</v>
      </c>
    </row>
    <row r="9" spans="1:7" x14ac:dyDescent="0.3">
      <c r="A9" s="91" t="s">
        <v>43</v>
      </c>
      <c r="B9" s="91">
        <v>2.5</v>
      </c>
      <c r="D9" s="91" t="s">
        <v>44</v>
      </c>
      <c r="E9" s="91">
        <f t="shared" si="1"/>
        <v>15.36</v>
      </c>
      <c r="G9" s="91">
        <f t="shared" si="0"/>
        <v>6.4</v>
      </c>
    </row>
    <row r="10" spans="1:7" x14ac:dyDescent="0.3">
      <c r="A10" s="91" t="s">
        <v>44</v>
      </c>
      <c r="B10" s="91">
        <v>2.5</v>
      </c>
      <c r="D10" s="91" t="s">
        <v>45</v>
      </c>
      <c r="E10" s="91">
        <f t="shared" si="1"/>
        <v>15.36</v>
      </c>
      <c r="G10" s="91">
        <f t="shared" si="0"/>
        <v>6.4</v>
      </c>
    </row>
    <row r="11" spans="1:7" x14ac:dyDescent="0.3">
      <c r="A11" s="91" t="s">
        <v>45</v>
      </c>
      <c r="B11" s="91">
        <v>2.7</v>
      </c>
      <c r="D11" s="91" t="s">
        <v>46</v>
      </c>
      <c r="E11" s="91">
        <f t="shared" si="1"/>
        <v>15.36</v>
      </c>
      <c r="G11" s="91">
        <f t="shared" si="0"/>
        <v>6.4</v>
      </c>
    </row>
    <row r="12" spans="1:7" x14ac:dyDescent="0.3">
      <c r="A12" s="91" t="s">
        <v>46</v>
      </c>
      <c r="B12" s="91">
        <v>2.7</v>
      </c>
      <c r="D12" s="91" t="s">
        <v>47</v>
      </c>
      <c r="E12" s="91">
        <f t="shared" si="1"/>
        <v>15.36</v>
      </c>
      <c r="G12" s="91">
        <f t="shared" si="0"/>
        <v>6.4</v>
      </c>
    </row>
    <row r="13" spans="1:7" x14ac:dyDescent="0.3">
      <c r="A13" s="91" t="s">
        <v>47</v>
      </c>
      <c r="B13" s="91">
        <v>2.5</v>
      </c>
      <c r="D13" s="91" t="s">
        <v>48</v>
      </c>
      <c r="E13" s="91">
        <f t="shared" si="1"/>
        <v>15.36</v>
      </c>
      <c r="G13" s="91">
        <f t="shared" si="0"/>
        <v>6.4</v>
      </c>
    </row>
    <row r="14" spans="1:7" x14ac:dyDescent="0.3">
      <c r="A14" s="91" t="s">
        <v>48</v>
      </c>
      <c r="B14" s="91">
        <v>3</v>
      </c>
      <c r="D14" s="91" t="s">
        <v>49</v>
      </c>
      <c r="E14" s="91">
        <f t="shared" si="1"/>
        <v>15.36</v>
      </c>
      <c r="G14" s="91">
        <f>1.65*2+2.46*2</f>
        <v>8.2199999999999989</v>
      </c>
    </row>
    <row r="15" spans="1:7" x14ac:dyDescent="0.3">
      <c r="B15" s="91">
        <f>+SUM(B2:B14)</f>
        <v>33.4</v>
      </c>
      <c r="D15" s="91" t="s">
        <v>106</v>
      </c>
      <c r="E15" s="91">
        <f t="shared" si="1"/>
        <v>15.36</v>
      </c>
    </row>
    <row r="16" spans="1:7" x14ac:dyDescent="0.3">
      <c r="D16" s="91" t="s">
        <v>107</v>
      </c>
      <c r="E16" s="91">
        <f t="shared" si="1"/>
        <v>15.36</v>
      </c>
    </row>
    <row r="17" spans="1:8" x14ac:dyDescent="0.3">
      <c r="A17" s="91" t="s">
        <v>84</v>
      </c>
      <c r="B17" s="91">
        <v>13.2</v>
      </c>
      <c r="D17" s="91" t="s">
        <v>108</v>
      </c>
      <c r="E17" s="91">
        <f t="shared" si="1"/>
        <v>15.36</v>
      </c>
      <c r="G17" s="91">
        <f>2*(3.9+3.27)</f>
        <v>14.34</v>
      </c>
    </row>
    <row r="18" spans="1:8" x14ac:dyDescent="0.3">
      <c r="A18" s="91" t="s">
        <v>81</v>
      </c>
      <c r="B18" s="91">
        <v>7.3</v>
      </c>
      <c r="E18" s="91">
        <f>+SUM(E2:E17)</f>
        <v>249.31200000000007</v>
      </c>
      <c r="G18" s="91">
        <f>2*(3.2+2.28)</f>
        <v>10.96</v>
      </c>
    </row>
    <row r="19" spans="1:8" x14ac:dyDescent="0.3">
      <c r="A19" s="91" t="s">
        <v>50</v>
      </c>
      <c r="G19" s="91">
        <v>3</v>
      </c>
    </row>
    <row r="20" spans="1:8" x14ac:dyDescent="0.3">
      <c r="A20" s="91" t="s">
        <v>67</v>
      </c>
      <c r="G20" s="91">
        <f>1.65*2+2*2.2</f>
        <v>7.7</v>
      </c>
    </row>
    <row r="21" spans="1:8" x14ac:dyDescent="0.3">
      <c r="A21" s="91" t="s">
        <v>68</v>
      </c>
      <c r="B21" s="91">
        <v>3.7</v>
      </c>
      <c r="G21" s="91">
        <f>1.85*2+2*1.95</f>
        <v>7.6</v>
      </c>
    </row>
    <row r="22" spans="1:8" x14ac:dyDescent="0.3">
      <c r="A22" s="91" t="s">
        <v>69</v>
      </c>
      <c r="B22" s="91">
        <v>2.6</v>
      </c>
      <c r="G22" s="91">
        <f>2*(1.7+1.53)</f>
        <v>6.46</v>
      </c>
    </row>
    <row r="23" spans="1:8" x14ac:dyDescent="0.3">
      <c r="A23" s="91" t="s">
        <v>70</v>
      </c>
      <c r="B23" s="91">
        <v>3.3</v>
      </c>
      <c r="G23" s="91">
        <f>2*1.14+2*2.28</f>
        <v>6.84</v>
      </c>
    </row>
    <row r="24" spans="1:8" x14ac:dyDescent="0.3">
      <c r="G24" s="91">
        <f>+SUM(G2:G23)</f>
        <v>141.92000000000002</v>
      </c>
      <c r="H24" s="91">
        <f>+G24-19</f>
        <v>122.92000000000002</v>
      </c>
    </row>
    <row r="25" spans="1:8" x14ac:dyDescent="0.3">
      <c r="A25" s="91" t="s">
        <v>82</v>
      </c>
    </row>
  </sheetData>
  <sheetProtection algorithmName="SHA-512" hashValue="pYjSvG76IBXgrfFfdnYQNmDPYFQ/KzN71kqRSepourGKT8bOm8t8TYh2jqmtTRBMGs9A4VVJdcIaeZjLSeOxzg==" saltValue="1zCBsdk6jO/4BA4CGAFb2Q=="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4"/>
  <sheetViews>
    <sheetView view="pageBreakPreview" zoomScale="70" zoomScaleNormal="100" zoomScaleSheetLayoutView="70" workbookViewId="0">
      <selection activeCell="E7" sqref="E7"/>
    </sheetView>
  </sheetViews>
  <sheetFormatPr defaultRowHeight="14.4" x14ac:dyDescent="0.3"/>
  <cols>
    <col min="1" max="1" width="5.88671875" style="121" customWidth="1"/>
    <col min="2" max="2" width="42" style="10" customWidth="1"/>
    <col min="3" max="3" width="7.5546875" style="122" bestFit="1" customWidth="1"/>
    <col min="5" max="5" width="13.6640625" bestFit="1" customWidth="1"/>
  </cols>
  <sheetData>
    <row r="1" spans="1:6" x14ac:dyDescent="0.3">
      <c r="A1" s="147" t="s">
        <v>33</v>
      </c>
      <c r="B1" s="147"/>
      <c r="C1" s="129" t="s">
        <v>1</v>
      </c>
      <c r="D1" s="1" t="s">
        <v>2</v>
      </c>
      <c r="E1" s="1" t="s">
        <v>4</v>
      </c>
      <c r="F1" s="1" t="s">
        <v>11</v>
      </c>
    </row>
    <row r="2" spans="1:6" x14ac:dyDescent="0.3">
      <c r="B2" s="11"/>
    </row>
    <row r="3" spans="1:6" x14ac:dyDescent="0.3">
      <c r="B3" s="79" t="s">
        <v>5</v>
      </c>
    </row>
    <row r="4" spans="1:6" x14ac:dyDescent="0.3">
      <c r="B4" s="9"/>
    </row>
    <row r="5" spans="1:6" ht="201.6" x14ac:dyDescent="0.3">
      <c r="B5" s="79" t="s">
        <v>34</v>
      </c>
    </row>
    <row r="6" spans="1:6" x14ac:dyDescent="0.3">
      <c r="B6" s="9"/>
    </row>
    <row r="7" spans="1:6" ht="172.8" x14ac:dyDescent="0.3">
      <c r="A7" s="127">
        <v>1</v>
      </c>
      <c r="B7" s="120" t="s">
        <v>290</v>
      </c>
      <c r="C7" s="126" t="s">
        <v>9</v>
      </c>
      <c r="D7" s="12">
        <v>535</v>
      </c>
      <c r="E7" s="87"/>
      <c r="F7" s="12">
        <f>D7*E7</f>
        <v>0</v>
      </c>
    </row>
    <row r="8" spans="1:6" ht="273.60000000000002" x14ac:dyDescent="0.3">
      <c r="A8" s="127">
        <v>2</v>
      </c>
      <c r="B8" s="128" t="s">
        <v>294</v>
      </c>
      <c r="C8" s="126" t="s">
        <v>9</v>
      </c>
      <c r="D8" s="12">
        <v>534</v>
      </c>
      <c r="E8" s="87"/>
      <c r="F8" s="12">
        <f t="shared" ref="F8:F12" si="0">D8*E8</f>
        <v>0</v>
      </c>
    </row>
    <row r="9" spans="1:6" ht="86.4" x14ac:dyDescent="0.3">
      <c r="A9" s="127">
        <v>3</v>
      </c>
      <c r="B9" s="120" t="s">
        <v>291</v>
      </c>
      <c r="C9" s="126" t="s">
        <v>9</v>
      </c>
      <c r="D9" s="12">
        <v>534</v>
      </c>
      <c r="E9" s="87"/>
      <c r="F9" s="12">
        <f t="shared" si="0"/>
        <v>0</v>
      </c>
    </row>
    <row r="10" spans="1:6" ht="43.2" x14ac:dyDescent="0.3">
      <c r="A10" s="127">
        <v>4</v>
      </c>
      <c r="B10" s="120" t="s">
        <v>292</v>
      </c>
      <c r="C10" s="126" t="s">
        <v>293</v>
      </c>
      <c r="D10" s="12">
        <v>505</v>
      </c>
      <c r="E10" s="87"/>
      <c r="F10" s="12">
        <f t="shared" si="0"/>
        <v>0</v>
      </c>
    </row>
    <row r="11" spans="1:6" ht="28.8" x14ac:dyDescent="0.3">
      <c r="A11" s="121">
        <v>5</v>
      </c>
      <c r="B11" s="14" t="s">
        <v>88</v>
      </c>
      <c r="C11" s="122" t="s">
        <v>32</v>
      </c>
      <c r="D11" s="12">
        <v>25</v>
      </c>
      <c r="E11" s="87"/>
      <c r="F11" s="12">
        <f t="shared" si="0"/>
        <v>0</v>
      </c>
    </row>
    <row r="12" spans="1:6" ht="28.8" x14ac:dyDescent="0.3">
      <c r="A12" s="121">
        <v>6</v>
      </c>
      <c r="B12" s="4" t="s">
        <v>74</v>
      </c>
      <c r="C12" s="122" t="s">
        <v>32</v>
      </c>
      <c r="D12" s="12">
        <v>16</v>
      </c>
      <c r="E12" s="87"/>
      <c r="F12" s="12">
        <f t="shared" si="0"/>
        <v>0</v>
      </c>
    </row>
    <row r="13" spans="1:6" ht="15" thickBot="1" x14ac:dyDescent="0.35">
      <c r="A13" s="22"/>
      <c r="B13" s="21"/>
      <c r="C13" s="125"/>
      <c r="D13" s="23"/>
      <c r="E13" s="24"/>
      <c r="F13" s="24"/>
    </row>
    <row r="14" spans="1:6" ht="15" thickTop="1" x14ac:dyDescent="0.3">
      <c r="B14" s="26" t="s">
        <v>148</v>
      </c>
      <c r="D14" s="52"/>
      <c r="E14" s="12"/>
      <c r="F14" s="25">
        <f>+SUM(F7:F12)</f>
        <v>0</v>
      </c>
    </row>
  </sheetData>
  <sheetProtection algorithmName="SHA-512" hashValue="OGhl+Dqa2w8nH+A4BcElTbodUT4+E2xyD5nZeFXquTCmCVQN1peGMMfb4szp0b5jDdIXBtBEs7zaxcqZvWtI9A==" saltValue="/8Gkvm8cb2bklWsWZYMnVA==" spinCount="100000" sheet="1" selectLockedCells="1"/>
  <mergeCells count="1">
    <mergeCell ref="A1:B1"/>
  </mergeCells>
  <pageMargins left="0.7" right="0.7" top="0.75" bottom="0.75" header="0.3" footer="0.3"/>
  <pageSetup paperSize="9" orientation="portrait" horizont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R26" sqref="R26"/>
    </sheetView>
  </sheetViews>
  <sheetFormatPr defaultColWidth="9.109375" defaultRowHeight="14.4" x14ac:dyDescent="0.3"/>
  <cols>
    <col min="1" max="16384" width="9.109375" style="91"/>
  </cols>
  <sheetData>
    <row r="1" spans="1:3" x14ac:dyDescent="0.3">
      <c r="A1" s="91" t="s">
        <v>75</v>
      </c>
      <c r="B1" s="91">
        <v>37.1</v>
      </c>
      <c r="C1" s="91">
        <f>2*19</f>
        <v>38</v>
      </c>
    </row>
    <row r="2" spans="1:3" x14ac:dyDescent="0.3">
      <c r="A2" s="91" t="s">
        <v>76</v>
      </c>
      <c r="B2" s="91">
        <v>13.5</v>
      </c>
      <c r="C2" s="91">
        <v>15</v>
      </c>
    </row>
    <row r="3" spans="1:3" x14ac:dyDescent="0.3">
      <c r="A3" s="91" t="s">
        <v>77</v>
      </c>
      <c r="B3" s="91">
        <v>14.1</v>
      </c>
      <c r="C3" s="91">
        <f>2*6.7+2*2.7</f>
        <v>18.8</v>
      </c>
    </row>
    <row r="4" spans="1:3" x14ac:dyDescent="0.3">
      <c r="A4" s="91" t="s">
        <v>78</v>
      </c>
      <c r="B4" s="91">
        <v>24.1</v>
      </c>
      <c r="C4" s="91">
        <f>13*2</f>
        <v>26</v>
      </c>
    </row>
    <row r="5" spans="1:3" x14ac:dyDescent="0.3">
      <c r="A5" s="91" t="s">
        <v>79</v>
      </c>
      <c r="B5" s="91">
        <v>33.1</v>
      </c>
      <c r="C5" s="91">
        <f>4.5*2+2*6.5</f>
        <v>22</v>
      </c>
    </row>
    <row r="6" spans="1:3" x14ac:dyDescent="0.3">
      <c r="A6" s="91" t="s">
        <v>80</v>
      </c>
      <c r="B6" s="91">
        <v>3.6</v>
      </c>
      <c r="C6" s="91">
        <f>2*2.2+2*1.65</f>
        <v>7.7</v>
      </c>
    </row>
    <row r="7" spans="1:3" x14ac:dyDescent="0.3">
      <c r="A7" s="91" t="s">
        <v>36</v>
      </c>
      <c r="B7" s="91">
        <v>13.2</v>
      </c>
      <c r="C7" s="91">
        <f>3.2+3.1+1.6+4.8+1.7</f>
        <v>14.399999999999999</v>
      </c>
    </row>
    <row r="8" spans="1:3" x14ac:dyDescent="0.3">
      <c r="A8" s="91" t="s">
        <v>37</v>
      </c>
      <c r="B8" s="91">
        <v>13.2</v>
      </c>
      <c r="C8" s="91">
        <f t="shared" ref="C8:C19" si="0">3.2+3.1+1.6+4.8+1.7</f>
        <v>14.399999999999999</v>
      </c>
    </row>
    <row r="9" spans="1:3" x14ac:dyDescent="0.3">
      <c r="A9" s="91" t="s">
        <v>38</v>
      </c>
      <c r="B9" s="91">
        <v>13.2</v>
      </c>
      <c r="C9" s="91">
        <f t="shared" si="0"/>
        <v>14.399999999999999</v>
      </c>
    </row>
    <row r="10" spans="1:3" x14ac:dyDescent="0.3">
      <c r="A10" s="91" t="s">
        <v>39</v>
      </c>
      <c r="B10" s="91">
        <v>13.2</v>
      </c>
      <c r="C10" s="91">
        <f t="shared" si="0"/>
        <v>14.399999999999999</v>
      </c>
    </row>
    <row r="11" spans="1:3" x14ac:dyDescent="0.3">
      <c r="A11" s="91" t="s">
        <v>40</v>
      </c>
      <c r="B11" s="91">
        <v>13.2</v>
      </c>
      <c r="C11" s="91">
        <f t="shared" si="0"/>
        <v>14.399999999999999</v>
      </c>
    </row>
    <row r="12" spans="1:3" x14ac:dyDescent="0.3">
      <c r="A12" s="91" t="s">
        <v>41</v>
      </c>
      <c r="B12" s="91">
        <v>13.2</v>
      </c>
      <c r="C12" s="91">
        <f t="shared" si="0"/>
        <v>14.399999999999999</v>
      </c>
    </row>
    <row r="13" spans="1:3" x14ac:dyDescent="0.3">
      <c r="A13" s="91" t="s">
        <v>42</v>
      </c>
      <c r="B13" s="91">
        <v>13.2</v>
      </c>
      <c r="C13" s="91">
        <f t="shared" si="0"/>
        <v>14.399999999999999</v>
      </c>
    </row>
    <row r="14" spans="1:3" x14ac:dyDescent="0.3">
      <c r="A14" s="91" t="s">
        <v>43</v>
      </c>
      <c r="B14" s="91">
        <v>13.2</v>
      </c>
      <c r="C14" s="91">
        <f t="shared" si="0"/>
        <v>14.399999999999999</v>
      </c>
    </row>
    <row r="15" spans="1:3" x14ac:dyDescent="0.3">
      <c r="A15" s="91" t="s">
        <v>44</v>
      </c>
      <c r="B15" s="91">
        <v>13.2</v>
      </c>
      <c r="C15" s="91">
        <f t="shared" si="0"/>
        <v>14.399999999999999</v>
      </c>
    </row>
    <row r="16" spans="1:3" x14ac:dyDescent="0.3">
      <c r="A16" s="91" t="s">
        <v>45</v>
      </c>
      <c r="B16" s="91">
        <v>21.2</v>
      </c>
      <c r="C16" s="91">
        <f>3.2+5+1.6+6.75+1.7</f>
        <v>18.249999999999996</v>
      </c>
    </row>
    <row r="17" spans="1:3" x14ac:dyDescent="0.3">
      <c r="A17" s="91" t="s">
        <v>46</v>
      </c>
      <c r="B17" s="91">
        <v>21.2</v>
      </c>
      <c r="C17" s="91">
        <f>3.2+5+1.6+6.75+1.7</f>
        <v>18.249999999999996</v>
      </c>
    </row>
    <row r="18" spans="1:3" x14ac:dyDescent="0.3">
      <c r="A18" s="91" t="s">
        <v>47</v>
      </c>
      <c r="B18" s="91">
        <v>13.2</v>
      </c>
      <c r="C18" s="91">
        <f t="shared" si="0"/>
        <v>14.399999999999999</v>
      </c>
    </row>
    <row r="19" spans="1:3" x14ac:dyDescent="0.3">
      <c r="A19" s="91" t="s">
        <v>48</v>
      </c>
      <c r="B19" s="91">
        <v>12.5</v>
      </c>
      <c r="C19" s="91">
        <f t="shared" si="0"/>
        <v>14.399999999999999</v>
      </c>
    </row>
    <row r="20" spans="1:3" x14ac:dyDescent="0.3">
      <c r="A20" s="91" t="s">
        <v>67</v>
      </c>
      <c r="B20" s="91">
        <v>28.1</v>
      </c>
      <c r="C20" s="91">
        <f>6.51*2+2.06+3.6*2+3.54</f>
        <v>25.82</v>
      </c>
    </row>
    <row r="21" spans="1:3" x14ac:dyDescent="0.3">
      <c r="B21" s="91">
        <f>+SUM(B1:B20)</f>
        <v>340.49999999999989</v>
      </c>
      <c r="C21" s="91">
        <f>+SUM(C1:C20)</f>
        <v>348.21999999999997</v>
      </c>
    </row>
  </sheetData>
  <sheetProtection algorithmName="SHA-512" hashValue="AR/NPu10i5Ghjsni1Ao57v2SSq0W1zhFTXXXJ2rmiqGZCECA/vL5rJqibi6rRcePMVwXY5pQB9tP2PesbUjdaA==" saltValue="02LwYtTwjMD4negs7a+G5A=="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E4" sqref="A1:XFD1048576"/>
    </sheetView>
  </sheetViews>
  <sheetFormatPr defaultColWidth="9.109375" defaultRowHeight="14.4" x14ac:dyDescent="0.3"/>
  <cols>
    <col min="1" max="16384" width="9.109375" style="91"/>
  </cols>
  <sheetData>
    <row r="2" spans="2:5" x14ac:dyDescent="0.3">
      <c r="B2" s="91" t="s">
        <v>151</v>
      </c>
      <c r="E2" s="91" t="s">
        <v>155</v>
      </c>
    </row>
    <row r="3" spans="2:5" x14ac:dyDescent="0.3">
      <c r="B3" s="91" t="s">
        <v>87</v>
      </c>
      <c r="C3" s="91">
        <f>+(3.2*2+4.9*2+3.2*2+3.5*2)*2.5</f>
        <v>74</v>
      </c>
      <c r="E3" s="91">
        <f>+((20+15.1)*2+2*7.8)*2.5</f>
        <v>214.5</v>
      </c>
    </row>
    <row r="4" spans="2:5" x14ac:dyDescent="0.3">
      <c r="B4" s="91" t="s">
        <v>38</v>
      </c>
      <c r="C4" s="91">
        <f>+(2*3.2+5.65*2)*2.5</f>
        <v>44.250000000000007</v>
      </c>
    </row>
    <row r="5" spans="2:5" x14ac:dyDescent="0.3">
      <c r="B5" s="91" t="s">
        <v>39</v>
      </c>
      <c r="C5" s="91">
        <f t="shared" ref="C5:C18" si="0">+(2*3.2+5.65*2)*2.5</f>
        <v>44.250000000000007</v>
      </c>
    </row>
    <row r="6" spans="2:5" x14ac:dyDescent="0.3">
      <c r="B6" s="91" t="s">
        <v>40</v>
      </c>
      <c r="C6" s="91">
        <f t="shared" si="0"/>
        <v>44.250000000000007</v>
      </c>
    </row>
    <row r="7" spans="2:5" x14ac:dyDescent="0.3">
      <c r="B7" s="91" t="s">
        <v>41</v>
      </c>
      <c r="C7" s="91">
        <f t="shared" si="0"/>
        <v>44.250000000000007</v>
      </c>
    </row>
    <row r="8" spans="2:5" x14ac:dyDescent="0.3">
      <c r="B8" s="91" t="s">
        <v>42</v>
      </c>
      <c r="C8" s="91">
        <f t="shared" si="0"/>
        <v>44.250000000000007</v>
      </c>
    </row>
    <row r="9" spans="2:5" x14ac:dyDescent="0.3">
      <c r="B9" s="91" t="s">
        <v>43</v>
      </c>
      <c r="C9" s="91">
        <f>+(3.2*2+6.7*2)*2.5</f>
        <v>49.5</v>
      </c>
    </row>
    <row r="10" spans="2:5" x14ac:dyDescent="0.3">
      <c r="B10" s="91" t="s">
        <v>44</v>
      </c>
      <c r="C10" s="91">
        <f t="shared" si="0"/>
        <v>44.250000000000007</v>
      </c>
    </row>
    <row r="11" spans="2:5" x14ac:dyDescent="0.3">
      <c r="B11" s="91" t="s">
        <v>45</v>
      </c>
      <c r="C11" s="91">
        <f t="shared" si="0"/>
        <v>44.250000000000007</v>
      </c>
    </row>
    <row r="12" spans="2:5" x14ac:dyDescent="0.3">
      <c r="B12" s="91" t="s">
        <v>46</v>
      </c>
      <c r="C12" s="91">
        <f t="shared" si="0"/>
        <v>44.250000000000007</v>
      </c>
    </row>
    <row r="13" spans="2:5" x14ac:dyDescent="0.3">
      <c r="B13" s="91" t="s">
        <v>47</v>
      </c>
      <c r="C13" s="91">
        <f t="shared" si="0"/>
        <v>44.250000000000007</v>
      </c>
    </row>
    <row r="14" spans="2:5" x14ac:dyDescent="0.3">
      <c r="B14" s="91" t="s">
        <v>48</v>
      </c>
      <c r="C14" s="91">
        <f t="shared" si="0"/>
        <v>44.250000000000007</v>
      </c>
    </row>
    <row r="15" spans="2:5" x14ac:dyDescent="0.3">
      <c r="B15" s="91" t="s">
        <v>49</v>
      </c>
      <c r="C15" s="91">
        <f t="shared" si="0"/>
        <v>44.250000000000007</v>
      </c>
    </row>
    <row r="16" spans="2:5" x14ac:dyDescent="0.3">
      <c r="B16" s="91" t="s">
        <v>106</v>
      </c>
      <c r="C16" s="91">
        <f t="shared" si="0"/>
        <v>44.250000000000007</v>
      </c>
    </row>
    <row r="17" spans="2:3" x14ac:dyDescent="0.3">
      <c r="B17" s="91" t="s">
        <v>107</v>
      </c>
      <c r="C17" s="91">
        <f t="shared" si="0"/>
        <v>44.250000000000007</v>
      </c>
    </row>
    <row r="18" spans="2:3" x14ac:dyDescent="0.3">
      <c r="B18" s="91" t="s">
        <v>108</v>
      </c>
      <c r="C18" s="91">
        <f t="shared" si="0"/>
        <v>44.250000000000007</v>
      </c>
    </row>
    <row r="19" spans="2:3" x14ac:dyDescent="0.3">
      <c r="B19" s="91" t="s">
        <v>152</v>
      </c>
      <c r="C19" s="91">
        <f>+(2*1.7+1.9*2)*2.45</f>
        <v>17.64</v>
      </c>
    </row>
    <row r="20" spans="2:3" x14ac:dyDescent="0.3">
      <c r="B20" s="91" t="s">
        <v>153</v>
      </c>
      <c r="C20" s="91">
        <f>2.5*(1.8+3.9)</f>
        <v>14.25</v>
      </c>
    </row>
    <row r="21" spans="2:3" x14ac:dyDescent="0.3">
      <c r="C21" s="91">
        <f>+SUM(C3:C20)</f>
        <v>774.89</v>
      </c>
    </row>
  </sheetData>
  <sheetProtection algorithmName="SHA-512" hashValue="7fFeP1a/uY3RfPLyaeXy5TB8pVhixiS2jQGugNYPtrR1cuxm16KQoqS0NWwJ6WxCH4GCOHjh32+j7ZWnL+We9g==" saltValue="lmSQ1TX05QL7ops3AUWNyw=="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2"/>
  <sheetViews>
    <sheetView view="pageBreakPreview" zoomScaleNormal="100" zoomScaleSheetLayoutView="100" workbookViewId="0">
      <selection activeCell="E5" sqref="E5"/>
    </sheetView>
  </sheetViews>
  <sheetFormatPr defaultRowHeight="14.4" x14ac:dyDescent="0.3"/>
  <cols>
    <col min="1" max="1" width="5.88671875" customWidth="1"/>
    <col min="2" max="2" width="42" style="10" customWidth="1"/>
    <col min="3" max="3" width="7.5546875" bestFit="1" customWidth="1"/>
    <col min="4" max="4" width="8.88671875" style="35"/>
    <col min="5" max="5" width="11.44140625" bestFit="1" customWidth="1"/>
    <col min="6" max="6" width="9.5546875" bestFit="1" customWidth="1"/>
  </cols>
  <sheetData>
    <row r="1" spans="1:6" x14ac:dyDescent="0.3">
      <c r="A1" s="147" t="s">
        <v>35</v>
      </c>
      <c r="B1" s="147"/>
      <c r="C1" s="6" t="s">
        <v>1</v>
      </c>
      <c r="D1" s="130" t="s">
        <v>2</v>
      </c>
      <c r="E1" s="1" t="s">
        <v>4</v>
      </c>
      <c r="F1" s="1" t="s">
        <v>11</v>
      </c>
    </row>
    <row r="2" spans="1:6" x14ac:dyDescent="0.3">
      <c r="A2" s="76"/>
    </row>
    <row r="3" spans="1:6" ht="28.8" x14ac:dyDescent="0.3">
      <c r="A3" s="121"/>
      <c r="B3" s="7" t="s">
        <v>297</v>
      </c>
    </row>
    <row r="4" spans="1:6" x14ac:dyDescent="0.3">
      <c r="A4" s="121"/>
    </row>
    <row r="5" spans="1:6" ht="115.2" x14ac:dyDescent="0.3">
      <c r="A5" s="76">
        <v>1</v>
      </c>
      <c r="B5" s="14" t="s">
        <v>295</v>
      </c>
      <c r="C5" t="s">
        <v>9</v>
      </c>
      <c r="D5" s="49">
        <v>1200</v>
      </c>
      <c r="E5" s="87"/>
      <c r="F5" s="12">
        <f>+E5*D5</f>
        <v>0</v>
      </c>
    </row>
    <row r="6" spans="1:6" ht="28.8" x14ac:dyDescent="0.3">
      <c r="A6" s="76">
        <v>2</v>
      </c>
      <c r="B6" s="14" t="s">
        <v>296</v>
      </c>
      <c r="C6" t="s">
        <v>9</v>
      </c>
      <c r="D6" s="49">
        <v>340</v>
      </c>
      <c r="E6" s="87"/>
      <c r="F6" s="12">
        <f>+E6*D6</f>
        <v>0</v>
      </c>
    </row>
    <row r="7" spans="1:6" ht="72" x14ac:dyDescent="0.3">
      <c r="A7" s="76">
        <v>3</v>
      </c>
      <c r="B7" s="14" t="s">
        <v>149</v>
      </c>
      <c r="C7" t="s">
        <v>9</v>
      </c>
      <c r="D7" s="49">
        <v>270</v>
      </c>
      <c r="E7" s="87"/>
      <c r="F7" s="12">
        <f>+E7*D7</f>
        <v>0</v>
      </c>
    </row>
    <row r="8" spans="1:6" ht="72" x14ac:dyDescent="0.3">
      <c r="A8" s="76">
        <v>5</v>
      </c>
      <c r="B8" s="14" t="s">
        <v>150</v>
      </c>
      <c r="C8" t="s">
        <v>9</v>
      </c>
      <c r="D8" s="49">
        <v>605</v>
      </c>
      <c r="E8" s="87"/>
      <c r="F8" s="12">
        <f>+E8*D8</f>
        <v>0</v>
      </c>
    </row>
    <row r="9" spans="1:6" ht="15" thickBot="1" x14ac:dyDescent="0.35">
      <c r="A9" s="22"/>
      <c r="B9" s="21"/>
      <c r="C9" s="22"/>
      <c r="D9" s="131"/>
      <c r="E9" s="24"/>
      <c r="F9" s="24"/>
    </row>
    <row r="10" spans="1:6" ht="15" thickTop="1" x14ac:dyDescent="0.3">
      <c r="A10" s="76"/>
      <c r="B10" s="26" t="s">
        <v>154</v>
      </c>
      <c r="C10" s="76"/>
      <c r="D10" s="132"/>
      <c r="E10" s="12"/>
      <c r="F10" s="63">
        <f>+SUM(F5:F8)</f>
        <v>0</v>
      </c>
    </row>
    <row r="11" spans="1:6" x14ac:dyDescent="0.3">
      <c r="A11" s="76"/>
    </row>
    <row r="12" spans="1:6" x14ac:dyDescent="0.3">
      <c r="A12" s="76"/>
    </row>
    <row r="13" spans="1:6" x14ac:dyDescent="0.3">
      <c r="A13" s="76"/>
    </row>
    <row r="14" spans="1:6" x14ac:dyDescent="0.3">
      <c r="A14" s="76"/>
    </row>
    <row r="15" spans="1:6" x14ac:dyDescent="0.3">
      <c r="A15" s="76"/>
    </row>
    <row r="16" spans="1:6" x14ac:dyDescent="0.3">
      <c r="A16" s="76"/>
    </row>
    <row r="17" spans="1:1" x14ac:dyDescent="0.3">
      <c r="A17" s="76"/>
    </row>
    <row r="18" spans="1:1" x14ac:dyDescent="0.3">
      <c r="A18" s="76"/>
    </row>
    <row r="19" spans="1:1" x14ac:dyDescent="0.3">
      <c r="A19" s="76"/>
    </row>
    <row r="20" spans="1:1" x14ac:dyDescent="0.3">
      <c r="A20" s="76"/>
    </row>
    <row r="21" spans="1:1" x14ac:dyDescent="0.3">
      <c r="A21" s="76"/>
    </row>
    <row r="22" spans="1:1" x14ac:dyDescent="0.3">
      <c r="A22" s="76"/>
    </row>
  </sheetData>
  <sheetProtection algorithmName="SHA-512" hashValue="tj/AHK5ETp4wwoENepCieC/80pk9N5WXY3UaNRKd3PCCv3qmYh2dapvWrBj21n53SxydP0KKIFXWkgyoB9D7HA==" saltValue="Ytu0Ej5mJm2WWYZpxatUmQ==" spinCount="100000" sheet="1" selectLockedCells="1"/>
  <mergeCells count="1">
    <mergeCell ref="A1:B1"/>
  </mergeCells>
  <pageMargins left="0.7" right="0.7" top="0.75" bottom="0.75" header="0.3" footer="0.3"/>
  <pageSetup paperSize="9" orientation="portrait"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N37" sqref="A1:XFD1048576"/>
    </sheetView>
  </sheetViews>
  <sheetFormatPr defaultColWidth="9.109375" defaultRowHeight="14.4" x14ac:dyDescent="0.3"/>
  <cols>
    <col min="1" max="16384" width="9.109375" style="91"/>
  </cols>
  <sheetData>
    <row r="2" spans="1:3" x14ac:dyDescent="0.3">
      <c r="A2" s="91" t="s">
        <v>135</v>
      </c>
      <c r="B2" s="91">
        <f>0.85*2.45</f>
        <v>2.0825</v>
      </c>
    </row>
    <row r="3" spans="1:3" x14ac:dyDescent="0.3">
      <c r="B3" s="91">
        <f>0.6*2.45</f>
        <v>1.47</v>
      </c>
    </row>
    <row r="4" spans="1:3" x14ac:dyDescent="0.3">
      <c r="B4" s="91">
        <f>0.66*2.45</f>
        <v>1.6170000000000002</v>
      </c>
    </row>
    <row r="5" spans="1:3" x14ac:dyDescent="0.3">
      <c r="B5" s="91">
        <f>1*2.45</f>
        <v>2.4500000000000002</v>
      </c>
    </row>
    <row r="6" spans="1:3" x14ac:dyDescent="0.3">
      <c r="B6" s="91">
        <f>2.12*0.45</f>
        <v>0.95400000000000007</v>
      </c>
    </row>
    <row r="7" spans="1:3" x14ac:dyDescent="0.3">
      <c r="B7" s="91">
        <f>+SUM(B2:B6)</f>
        <v>8.573500000000001</v>
      </c>
      <c r="C7" s="91">
        <f>+B7*6</f>
        <v>51.441000000000003</v>
      </c>
    </row>
  </sheetData>
  <sheetProtection algorithmName="SHA-512" hashValue="CSeEcL8u8RoRjZXJRJ7tb56btSG3cA/yL+iffhuhcn5VBm1arn3fWHmk+D8VOJ131D0a/YOv9WAiSjK9SwJkyA==" saltValue="+VXUdjiu3PCTH+s5pdj//g=="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9"/>
  <sheetViews>
    <sheetView view="pageBreakPreview" zoomScale="85" zoomScaleNormal="100" zoomScaleSheetLayoutView="85" workbookViewId="0">
      <selection sqref="A1:XFD1048576"/>
    </sheetView>
  </sheetViews>
  <sheetFormatPr defaultRowHeight="14.4" x14ac:dyDescent="0.3"/>
  <cols>
    <col min="1" max="1" width="5.88671875" customWidth="1"/>
    <col min="2" max="2" width="42" customWidth="1"/>
    <col min="3" max="3" width="7.5546875" bestFit="1" customWidth="1"/>
    <col min="5" max="5" width="13.6640625" bestFit="1" customWidth="1"/>
    <col min="6" max="6" width="11.109375" style="61" bestFit="1" customWidth="1"/>
  </cols>
  <sheetData>
    <row r="1" spans="1:6" x14ac:dyDescent="0.3">
      <c r="A1" s="147" t="s">
        <v>73</v>
      </c>
      <c r="B1" s="147"/>
      <c r="C1" s="6" t="s">
        <v>1</v>
      </c>
      <c r="D1" s="1" t="s">
        <v>2</v>
      </c>
      <c r="E1" s="1" t="s">
        <v>4</v>
      </c>
      <c r="F1" s="64" t="s">
        <v>11</v>
      </c>
    </row>
    <row r="2" spans="1:6" x14ac:dyDescent="0.3">
      <c r="B2" s="2"/>
    </row>
    <row r="3" spans="1:6" ht="158.4" x14ac:dyDescent="0.3">
      <c r="A3">
        <v>1</v>
      </c>
      <c r="B3" s="4" t="s">
        <v>91</v>
      </c>
      <c r="C3" t="s">
        <v>8</v>
      </c>
      <c r="D3">
        <v>1</v>
      </c>
      <c r="E3" s="87"/>
      <c r="F3" s="61">
        <f>+E3*D3</f>
        <v>0</v>
      </c>
    </row>
    <row r="4" spans="1:6" ht="15" thickBot="1" x14ac:dyDescent="0.35">
      <c r="A4" s="22"/>
      <c r="B4" s="21"/>
      <c r="C4" s="22"/>
      <c r="D4" s="22"/>
      <c r="E4" s="23"/>
      <c r="F4" s="67"/>
    </row>
    <row r="5" spans="1:6" ht="15" thickTop="1" x14ac:dyDescent="0.3">
      <c r="A5" s="76"/>
      <c r="B5" s="26" t="s">
        <v>168</v>
      </c>
      <c r="C5" s="76"/>
      <c r="D5" s="76"/>
      <c r="E5" s="52"/>
      <c r="F5" s="95">
        <f>+F3</f>
        <v>0</v>
      </c>
    </row>
    <row r="6" spans="1:6" x14ac:dyDescent="0.3">
      <c r="B6" s="4"/>
      <c r="E6" s="12"/>
    </row>
    <row r="7" spans="1:6" x14ac:dyDescent="0.3">
      <c r="B7" s="4"/>
    </row>
    <row r="8" spans="1:6" x14ac:dyDescent="0.3">
      <c r="B8" s="4"/>
    </row>
    <row r="9" spans="1:6" x14ac:dyDescent="0.3">
      <c r="B9" s="4"/>
    </row>
  </sheetData>
  <sheetProtection algorithmName="SHA-512" hashValue="ruPt2nt4WnD1c7v1t0XksroHOpvZz69hrHVRngPSNDP6RY592ARiCLSSN2aJ9VWEZDEb/twP6Zw/CVBHmWrCvw==" saltValue="my1hNFr95uM2yHM6B1klnQ==" spinCount="100000" sheet="1" objects="1" scenarios="1"/>
  <mergeCells count="1">
    <mergeCell ref="A1:B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
  <sheetViews>
    <sheetView workbookViewId="0">
      <selection activeCell="E3" sqref="E3"/>
    </sheetView>
  </sheetViews>
  <sheetFormatPr defaultRowHeight="14.4" x14ac:dyDescent="0.3"/>
  <cols>
    <col min="1" max="1" width="5.88671875" customWidth="1"/>
    <col min="2" max="2" width="42" customWidth="1"/>
    <col min="3" max="3" width="7.5546875" bestFit="1" customWidth="1"/>
    <col min="5" max="5" width="13.6640625" bestFit="1" customWidth="1"/>
    <col min="6" max="6" width="9.5546875" style="61" bestFit="1" customWidth="1"/>
  </cols>
  <sheetData>
    <row r="1" spans="1:6" x14ac:dyDescent="0.3">
      <c r="A1" s="147" t="s">
        <v>164</v>
      </c>
      <c r="B1" s="147"/>
      <c r="C1" s="6" t="s">
        <v>1</v>
      </c>
      <c r="D1" s="1" t="s">
        <v>2</v>
      </c>
      <c r="E1" s="1" t="s">
        <v>4</v>
      </c>
      <c r="F1" s="64" t="s">
        <v>11</v>
      </c>
    </row>
    <row r="3" spans="1:6" ht="28.8" x14ac:dyDescent="0.3">
      <c r="A3">
        <v>1</v>
      </c>
      <c r="B3" s="4" t="s">
        <v>165</v>
      </c>
      <c r="C3" t="s">
        <v>8</v>
      </c>
      <c r="D3" s="12">
        <v>2</v>
      </c>
      <c r="E3" s="87"/>
      <c r="F3" s="61">
        <f>+E3*D3</f>
        <v>0</v>
      </c>
    </row>
    <row r="4" spans="1:6" ht="86.4" x14ac:dyDescent="0.3">
      <c r="A4">
        <v>2</v>
      </c>
      <c r="B4" s="4" t="s">
        <v>253</v>
      </c>
      <c r="C4" t="s">
        <v>32</v>
      </c>
      <c r="D4" s="12">
        <v>10</v>
      </c>
      <c r="E4" s="87"/>
      <c r="F4" s="61">
        <f>+E4*D4</f>
        <v>0</v>
      </c>
    </row>
    <row r="5" spans="1:6" ht="15" thickBot="1" x14ac:dyDescent="0.35">
      <c r="A5" s="22"/>
      <c r="B5" s="21"/>
      <c r="C5" s="22"/>
      <c r="D5" s="23"/>
      <c r="E5" s="24"/>
      <c r="F5" s="67"/>
    </row>
    <row r="6" spans="1:6" ht="15" thickTop="1" x14ac:dyDescent="0.3">
      <c r="A6" s="76"/>
      <c r="B6" s="26" t="s">
        <v>166</v>
      </c>
      <c r="C6" s="76"/>
      <c r="D6" s="52"/>
      <c r="E6" s="12"/>
      <c r="F6" s="72">
        <f>+SUM(F3:F4)</f>
        <v>0</v>
      </c>
    </row>
  </sheetData>
  <sheetProtection algorithmName="SHA-512" hashValue="ChI7DlR1e95VgT80CZ8xErGd8GlirhkyI5h7N6+Ula1A11fgYeLvij7ls7S8d/kp8sj4mlgu0YJufiNJ/Hw5xQ==" saltValue="BIFfSOaFwSUYatPeEAu5bQ==" spinCount="100000" sheet="1"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view="pageBreakPreview" zoomScale="60" zoomScaleNormal="100" workbookViewId="0">
      <selection activeCell="A3" sqref="A3"/>
    </sheetView>
  </sheetViews>
  <sheetFormatPr defaultColWidth="9.109375" defaultRowHeight="14.4" x14ac:dyDescent="0.3"/>
  <cols>
    <col min="1" max="1" width="72.33203125" style="101" customWidth="1"/>
    <col min="2" max="16384" width="9.109375" style="101"/>
  </cols>
  <sheetData>
    <row r="1" spans="1:1" ht="18" x14ac:dyDescent="0.35">
      <c r="A1" s="100" t="s">
        <v>208</v>
      </c>
    </row>
    <row r="3" spans="1:1" ht="115.2" x14ac:dyDescent="0.3">
      <c r="A3" s="102" t="s">
        <v>92</v>
      </c>
    </row>
    <row r="5" spans="1:1" ht="43.2" x14ac:dyDescent="0.3">
      <c r="A5" s="102" t="s">
        <v>94</v>
      </c>
    </row>
    <row r="6" spans="1:1" x14ac:dyDescent="0.3">
      <c r="A6" s="102"/>
    </row>
    <row r="7" spans="1:1" ht="72" x14ac:dyDescent="0.3">
      <c r="A7" s="102" t="s">
        <v>228</v>
      </c>
    </row>
    <row r="8" spans="1:1" x14ac:dyDescent="0.3">
      <c r="A8" s="102"/>
    </row>
    <row r="9" spans="1:1" x14ac:dyDescent="0.3">
      <c r="A9" s="103" t="s">
        <v>188</v>
      </c>
    </row>
    <row r="10" spans="1:1" x14ac:dyDescent="0.3">
      <c r="A10" s="103" t="s">
        <v>189</v>
      </c>
    </row>
    <row r="11" spans="1:1" x14ac:dyDescent="0.3">
      <c r="A11" s="28"/>
    </row>
    <row r="12" spans="1:1" x14ac:dyDescent="0.3">
      <c r="A12" s="103" t="s">
        <v>190</v>
      </c>
    </row>
    <row r="13" spans="1:1" ht="43.2" x14ac:dyDescent="0.3">
      <c r="A13" s="103" t="s">
        <v>191</v>
      </c>
    </row>
    <row r="14" spans="1:1" x14ac:dyDescent="0.3">
      <c r="A14" s="103" t="s">
        <v>192</v>
      </c>
    </row>
    <row r="15" spans="1:1" ht="28.8" x14ac:dyDescent="0.3">
      <c r="A15" s="103" t="s">
        <v>193</v>
      </c>
    </row>
    <row r="16" spans="1:1" ht="28.8" x14ac:dyDescent="0.3">
      <c r="A16" s="103" t="s">
        <v>194</v>
      </c>
    </row>
    <row r="17" spans="1:1" ht="28.8" x14ac:dyDescent="0.3">
      <c r="A17" s="103" t="s">
        <v>195</v>
      </c>
    </row>
    <row r="18" spans="1:1" x14ac:dyDescent="0.3">
      <c r="A18" s="103" t="s">
        <v>196</v>
      </c>
    </row>
    <row r="19" spans="1:1" x14ac:dyDescent="0.3">
      <c r="A19" s="103" t="s">
        <v>197</v>
      </c>
    </row>
    <row r="20" spans="1:1" x14ac:dyDescent="0.3">
      <c r="A20" s="103" t="s">
        <v>198</v>
      </c>
    </row>
    <row r="22" spans="1:1" ht="43.2" x14ac:dyDescent="0.3">
      <c r="A22" s="103" t="s">
        <v>209</v>
      </c>
    </row>
    <row r="23" spans="1:1" x14ac:dyDescent="0.3">
      <c r="A23" s="103"/>
    </row>
    <row r="24" spans="1:1" ht="28.8" x14ac:dyDescent="0.3">
      <c r="A24" s="103" t="s">
        <v>210</v>
      </c>
    </row>
    <row r="25" spans="1:1" x14ac:dyDescent="0.3">
      <c r="A25" s="103"/>
    </row>
    <row r="26" spans="1:1" ht="28.8" x14ac:dyDescent="0.3">
      <c r="A26" s="103" t="s">
        <v>211</v>
      </c>
    </row>
    <row r="27" spans="1:1" x14ac:dyDescent="0.3">
      <c r="A27" s="103"/>
    </row>
    <row r="28" spans="1:1" ht="43.2" x14ac:dyDescent="0.3">
      <c r="A28" s="103" t="s">
        <v>202</v>
      </c>
    </row>
    <row r="29" spans="1:1" ht="28.8" x14ac:dyDescent="0.3">
      <c r="A29" s="103" t="s">
        <v>203</v>
      </c>
    </row>
    <row r="30" spans="1:1" x14ac:dyDescent="0.3">
      <c r="A30" s="103"/>
    </row>
    <row r="31" spans="1:1" ht="28.8" x14ac:dyDescent="0.3">
      <c r="A31" s="103" t="s">
        <v>199</v>
      </c>
    </row>
    <row r="32" spans="1:1" x14ac:dyDescent="0.3">
      <c r="A32" s="104"/>
    </row>
    <row r="33" spans="1:1" ht="43.2" x14ac:dyDescent="0.3">
      <c r="A33" s="103" t="s">
        <v>200</v>
      </c>
    </row>
    <row r="35" spans="1:1" ht="28.8" x14ac:dyDescent="0.3">
      <c r="A35" s="103" t="s">
        <v>212</v>
      </c>
    </row>
    <row r="37" spans="1:1" x14ac:dyDescent="0.3">
      <c r="A37" s="103" t="s">
        <v>213</v>
      </c>
    </row>
    <row r="38" spans="1:1" x14ac:dyDescent="0.3">
      <c r="A38" s="103" t="s">
        <v>201</v>
      </c>
    </row>
    <row r="40" spans="1:1" x14ac:dyDescent="0.3">
      <c r="A40" s="102" t="s">
        <v>93</v>
      </c>
    </row>
    <row r="42" spans="1:1" ht="43.2" x14ac:dyDescent="0.3">
      <c r="A42" s="105" t="s">
        <v>214</v>
      </c>
    </row>
    <row r="44" spans="1:1" ht="72" x14ac:dyDescent="0.3">
      <c r="A44" s="28" t="s">
        <v>215</v>
      </c>
    </row>
    <row r="46" spans="1:1" ht="28.8" x14ac:dyDescent="0.3">
      <c r="A46" s="96" t="s">
        <v>216</v>
      </c>
    </row>
    <row r="48" spans="1:1" ht="43.2" x14ac:dyDescent="0.3">
      <c r="A48" s="103" t="s">
        <v>217</v>
      </c>
    </row>
    <row r="50" spans="1:1" ht="28.8" x14ac:dyDescent="0.3">
      <c r="A50" s="28" t="s">
        <v>218</v>
      </c>
    </row>
    <row r="52" spans="1:1" ht="43.2" x14ac:dyDescent="0.3">
      <c r="A52" s="28" t="s">
        <v>103</v>
      </c>
    </row>
    <row r="53" spans="1:1" x14ac:dyDescent="0.3">
      <c r="A53" s="28"/>
    </row>
    <row r="54" spans="1:1" ht="15.6" x14ac:dyDescent="0.3">
      <c r="A54" s="106" t="s">
        <v>219</v>
      </c>
    </row>
    <row r="56" spans="1:1" ht="43.2" x14ac:dyDescent="0.3">
      <c r="A56" s="28" t="s">
        <v>95</v>
      </c>
    </row>
    <row r="57" spans="1:1" x14ac:dyDescent="0.3">
      <c r="A57" s="28"/>
    </row>
    <row r="58" spans="1:1" ht="57.6" x14ac:dyDescent="0.3">
      <c r="A58" s="28" t="s">
        <v>96</v>
      </c>
    </row>
    <row r="59" spans="1:1" x14ac:dyDescent="0.3">
      <c r="A59" s="28"/>
    </row>
    <row r="60" spans="1:1" x14ac:dyDescent="0.3">
      <c r="A60" s="28" t="s">
        <v>97</v>
      </c>
    </row>
    <row r="61" spans="1:1" x14ac:dyDescent="0.3">
      <c r="A61" s="28"/>
    </row>
    <row r="62" spans="1:1" ht="72" x14ac:dyDescent="0.3">
      <c r="A62" s="28" t="s">
        <v>98</v>
      </c>
    </row>
    <row r="63" spans="1:1" x14ac:dyDescent="0.3">
      <c r="A63" s="28"/>
    </row>
    <row r="64" spans="1:1" ht="43.2" x14ac:dyDescent="0.3">
      <c r="A64" s="28" t="s">
        <v>99</v>
      </c>
    </row>
    <row r="65" spans="1:1" x14ac:dyDescent="0.3">
      <c r="A65" s="28"/>
    </row>
    <row r="66" spans="1:1" ht="28.8" x14ac:dyDescent="0.3">
      <c r="A66" s="28" t="s">
        <v>100</v>
      </c>
    </row>
    <row r="67" spans="1:1" x14ac:dyDescent="0.3">
      <c r="A67" s="28"/>
    </row>
    <row r="68" spans="1:1" ht="57.6" x14ac:dyDescent="0.3">
      <c r="A68" s="28" t="s">
        <v>101</v>
      </c>
    </row>
    <row r="70" spans="1:1" ht="28.8" x14ac:dyDescent="0.3">
      <c r="A70" s="28" t="s">
        <v>102</v>
      </c>
    </row>
    <row r="72" spans="1:1" ht="43.2" x14ac:dyDescent="0.3">
      <c r="A72" s="28" t="s">
        <v>103</v>
      </c>
    </row>
  </sheetData>
  <sheetProtection algorithmName="SHA-512" hashValue="0V83ZExJufoKT5MumW6KDpvcJczgfAtPjjwnCvNN5z1Hk2Ge7uGYOZ+wdROpfcGvPyDGMb/iMbsyrwyoH8DCIw==" saltValue="koVb2UE7hVMFtST+F7yLGw==" spinCount="100000" sheet="1" objects="1" scenarios="1"/>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55"/>
  <sheetViews>
    <sheetView tabSelected="1" view="pageBreakPreview" topLeftCell="A17" zoomScaleNormal="100" zoomScaleSheetLayoutView="100" workbookViewId="0">
      <selection activeCell="E21" sqref="E21"/>
    </sheetView>
  </sheetViews>
  <sheetFormatPr defaultRowHeight="14.4" x14ac:dyDescent="0.3"/>
  <cols>
    <col min="1" max="1" width="4" style="3" customWidth="1"/>
    <col min="2" max="2" width="44.109375" style="4" customWidth="1"/>
    <col min="3" max="3" width="6" style="76" bestFit="1" customWidth="1"/>
    <col min="4" max="4" width="8.33203125" style="52" customWidth="1"/>
    <col min="5" max="5" width="11.44140625" style="52" customWidth="1"/>
    <col min="6" max="6" width="12.5546875" style="88" customWidth="1"/>
  </cols>
  <sheetData>
    <row r="1" spans="1:6" ht="15" customHeight="1" x14ac:dyDescent="0.3">
      <c r="A1" s="147" t="s">
        <v>0</v>
      </c>
      <c r="B1" s="147"/>
      <c r="C1" s="20" t="s">
        <v>1</v>
      </c>
      <c r="D1" s="36" t="s">
        <v>2</v>
      </c>
      <c r="E1" s="36" t="s">
        <v>4</v>
      </c>
      <c r="F1" s="90" t="s">
        <v>3</v>
      </c>
    </row>
    <row r="2" spans="1:6" x14ac:dyDescent="0.3">
      <c r="B2" s="2"/>
    </row>
    <row r="3" spans="1:6" x14ac:dyDescent="0.3">
      <c r="B3" s="77" t="s">
        <v>5</v>
      </c>
    </row>
    <row r="4" spans="1:6" x14ac:dyDescent="0.3">
      <c r="B4" s="77"/>
    </row>
    <row r="5" spans="1:6" ht="72" x14ac:dyDescent="0.3">
      <c r="B5" s="77" t="s">
        <v>59</v>
      </c>
    </row>
    <row r="6" spans="1:6" ht="28.8" x14ac:dyDescent="0.3">
      <c r="B6" s="77" t="s">
        <v>6</v>
      </c>
    </row>
    <row r="7" spans="1:6" ht="28.8" x14ac:dyDescent="0.3">
      <c r="B7" s="77" t="s">
        <v>7</v>
      </c>
    </row>
    <row r="8" spans="1:6" ht="100.8" x14ac:dyDescent="0.3">
      <c r="B8" s="77" t="s">
        <v>60</v>
      </c>
    </row>
    <row r="9" spans="1:6" ht="43.2" x14ac:dyDescent="0.3">
      <c r="A9" s="3">
        <v>1</v>
      </c>
      <c r="B9" s="140" t="s">
        <v>300</v>
      </c>
      <c r="C9" s="137" t="s">
        <v>8</v>
      </c>
      <c r="D9" s="52">
        <v>1</v>
      </c>
      <c r="E9" s="81"/>
      <c r="F9" s="136">
        <f t="shared" ref="F9:F41" si="0">D9*E9</f>
        <v>0</v>
      </c>
    </row>
    <row r="10" spans="1:6" ht="57.6" x14ac:dyDescent="0.3">
      <c r="A10" s="29">
        <v>2</v>
      </c>
      <c r="B10" s="31" t="s">
        <v>231</v>
      </c>
      <c r="C10" s="78" t="s">
        <v>8</v>
      </c>
      <c r="D10" s="56">
        <v>1</v>
      </c>
      <c r="E10" s="81"/>
      <c r="F10" s="124">
        <f t="shared" si="0"/>
        <v>0</v>
      </c>
    </row>
    <row r="11" spans="1:6" ht="43.2" x14ac:dyDescent="0.3">
      <c r="A11" s="29">
        <v>3</v>
      </c>
      <c r="B11" s="31" t="s">
        <v>240</v>
      </c>
      <c r="C11" s="109" t="s">
        <v>8</v>
      </c>
      <c r="D11" s="56">
        <v>1</v>
      </c>
      <c r="E11" s="81"/>
      <c r="F11" s="124">
        <f t="shared" si="0"/>
        <v>0</v>
      </c>
    </row>
    <row r="12" spans="1:6" ht="86.4" x14ac:dyDescent="0.3">
      <c r="A12" s="29">
        <v>4</v>
      </c>
      <c r="B12" s="2" t="s">
        <v>232</v>
      </c>
      <c r="C12" s="78" t="s">
        <v>8</v>
      </c>
      <c r="D12" s="56">
        <v>1</v>
      </c>
      <c r="E12" s="81"/>
      <c r="F12" s="124">
        <f t="shared" si="0"/>
        <v>0</v>
      </c>
    </row>
    <row r="13" spans="1:6" ht="28.8" x14ac:dyDescent="0.3">
      <c r="A13" s="29">
        <v>5</v>
      </c>
      <c r="B13" s="31" t="s">
        <v>233</v>
      </c>
      <c r="C13" s="78" t="s">
        <v>10</v>
      </c>
      <c r="D13" s="56">
        <v>4</v>
      </c>
      <c r="E13" s="81"/>
      <c r="F13" s="124">
        <f t="shared" si="0"/>
        <v>0</v>
      </c>
    </row>
    <row r="14" spans="1:6" ht="43.2" x14ac:dyDescent="0.3">
      <c r="A14" s="29">
        <v>6</v>
      </c>
      <c r="B14" s="2" t="s">
        <v>234</v>
      </c>
      <c r="C14" s="78" t="s">
        <v>8</v>
      </c>
      <c r="D14" s="56">
        <v>1</v>
      </c>
      <c r="E14" s="81"/>
      <c r="F14" s="124">
        <f t="shared" si="0"/>
        <v>0</v>
      </c>
    </row>
    <row r="15" spans="1:6" ht="86.4" x14ac:dyDescent="0.3">
      <c r="A15" s="29">
        <v>7</v>
      </c>
      <c r="B15" s="15" t="s">
        <v>256</v>
      </c>
      <c r="C15" s="78" t="s">
        <v>9</v>
      </c>
      <c r="D15" s="56">
        <v>500</v>
      </c>
      <c r="E15" s="81"/>
      <c r="F15" s="124">
        <f t="shared" si="0"/>
        <v>0</v>
      </c>
    </row>
    <row r="16" spans="1:6" ht="72" x14ac:dyDescent="0.3">
      <c r="A16" s="29">
        <v>8</v>
      </c>
      <c r="B16" s="15" t="s">
        <v>255</v>
      </c>
      <c r="C16" s="78" t="s">
        <v>9</v>
      </c>
      <c r="D16" s="56">
        <v>100</v>
      </c>
      <c r="E16" s="81"/>
      <c r="F16" s="124">
        <f t="shared" si="0"/>
        <v>0</v>
      </c>
    </row>
    <row r="17" spans="1:6" s="35" customFormat="1" ht="72" x14ac:dyDescent="0.3">
      <c r="A17" s="29">
        <v>9</v>
      </c>
      <c r="B17" s="14" t="s">
        <v>138</v>
      </c>
      <c r="C17" s="33" t="s">
        <v>9</v>
      </c>
      <c r="D17" s="37">
        <v>75</v>
      </c>
      <c r="E17" s="82"/>
      <c r="F17" s="124">
        <f t="shared" si="0"/>
        <v>0</v>
      </c>
    </row>
    <row r="18" spans="1:6" s="35" customFormat="1" ht="72" x14ac:dyDescent="0.3">
      <c r="A18" s="29">
        <v>10</v>
      </c>
      <c r="B18" s="14" t="s">
        <v>257</v>
      </c>
      <c r="C18" s="33" t="s">
        <v>9</v>
      </c>
      <c r="D18" s="37">
        <v>50</v>
      </c>
      <c r="E18" s="82"/>
      <c r="F18" s="124">
        <f t="shared" si="0"/>
        <v>0</v>
      </c>
    </row>
    <row r="19" spans="1:6" s="35" customFormat="1" ht="72" x14ac:dyDescent="0.3">
      <c r="A19" s="29">
        <v>11</v>
      </c>
      <c r="B19" s="16" t="s">
        <v>235</v>
      </c>
      <c r="C19" s="33" t="s">
        <v>9</v>
      </c>
      <c r="D19" s="37">
        <v>365</v>
      </c>
      <c r="E19" s="82"/>
      <c r="F19" s="124">
        <f t="shared" si="0"/>
        <v>0</v>
      </c>
    </row>
    <row r="20" spans="1:6" ht="72" x14ac:dyDescent="0.3">
      <c r="A20" s="29">
        <v>12</v>
      </c>
      <c r="B20" s="31" t="s">
        <v>299</v>
      </c>
      <c r="C20" s="78" t="s">
        <v>10</v>
      </c>
      <c r="D20" s="56">
        <v>57</v>
      </c>
      <c r="E20" s="81"/>
      <c r="F20" s="124">
        <f t="shared" si="0"/>
        <v>0</v>
      </c>
    </row>
    <row r="21" spans="1:6" ht="84.75" customHeight="1" x14ac:dyDescent="0.3">
      <c r="A21" s="29">
        <v>13</v>
      </c>
      <c r="B21" s="31" t="s">
        <v>258</v>
      </c>
      <c r="C21" s="78" t="s">
        <v>32</v>
      </c>
      <c r="D21" s="56">
        <v>50</v>
      </c>
      <c r="E21" s="81"/>
      <c r="F21" s="124">
        <f t="shared" si="0"/>
        <v>0</v>
      </c>
    </row>
    <row r="22" spans="1:6" ht="57.6" x14ac:dyDescent="0.3">
      <c r="A22" s="29">
        <v>14</v>
      </c>
      <c r="B22" s="31" t="s">
        <v>236</v>
      </c>
      <c r="C22" s="78" t="s">
        <v>10</v>
      </c>
      <c r="D22" s="56">
        <v>7</v>
      </c>
      <c r="E22" s="81"/>
      <c r="F22" s="124">
        <f t="shared" si="0"/>
        <v>0</v>
      </c>
    </row>
    <row r="23" spans="1:6" ht="57.6" x14ac:dyDescent="0.3">
      <c r="A23" s="29">
        <v>15</v>
      </c>
      <c r="B23" s="2" t="s">
        <v>237</v>
      </c>
      <c r="C23" s="78" t="s">
        <v>8</v>
      </c>
      <c r="D23" s="56">
        <v>1</v>
      </c>
      <c r="E23" s="81"/>
      <c r="F23" s="124">
        <f t="shared" si="0"/>
        <v>0</v>
      </c>
    </row>
    <row r="24" spans="1:6" ht="57.6" x14ac:dyDescent="0.3">
      <c r="A24" s="29">
        <v>16</v>
      </c>
      <c r="B24" s="15" t="s">
        <v>187</v>
      </c>
      <c r="C24" s="78" t="s">
        <v>8</v>
      </c>
      <c r="D24" s="56">
        <v>1</v>
      </c>
      <c r="E24" s="81"/>
      <c r="F24" s="124">
        <f t="shared" si="0"/>
        <v>0</v>
      </c>
    </row>
    <row r="25" spans="1:6" ht="43.2" x14ac:dyDescent="0.3">
      <c r="A25" s="29">
        <v>17</v>
      </c>
      <c r="B25" s="31" t="s">
        <v>207</v>
      </c>
      <c r="C25" s="80" t="s">
        <v>9</v>
      </c>
      <c r="D25" s="38">
        <v>365</v>
      </c>
      <c r="E25" s="81"/>
      <c r="F25" s="124">
        <f t="shared" si="0"/>
        <v>0</v>
      </c>
    </row>
    <row r="26" spans="1:6" ht="43.2" x14ac:dyDescent="0.3">
      <c r="A26" s="29">
        <v>18</v>
      </c>
      <c r="B26" s="31" t="s">
        <v>259</v>
      </c>
      <c r="C26" s="110" t="s">
        <v>9</v>
      </c>
      <c r="D26" s="38">
        <v>15</v>
      </c>
      <c r="E26" s="81"/>
      <c r="F26" s="124">
        <f t="shared" si="0"/>
        <v>0</v>
      </c>
    </row>
    <row r="27" spans="1:6" ht="28.8" x14ac:dyDescent="0.3">
      <c r="A27" s="29">
        <v>19</v>
      </c>
      <c r="B27" s="31" t="s">
        <v>117</v>
      </c>
      <c r="C27" s="80" t="s">
        <v>9</v>
      </c>
      <c r="D27" s="38">
        <v>70</v>
      </c>
      <c r="E27" s="81"/>
      <c r="F27" s="124">
        <f t="shared" si="0"/>
        <v>0</v>
      </c>
    </row>
    <row r="28" spans="1:6" ht="43.2" x14ac:dyDescent="0.3">
      <c r="A28" s="29">
        <v>20</v>
      </c>
      <c r="B28" s="31" t="s">
        <v>136</v>
      </c>
      <c r="C28" s="78" t="s">
        <v>8</v>
      </c>
      <c r="D28" s="56">
        <v>3</v>
      </c>
      <c r="E28" s="81"/>
      <c r="F28" s="124">
        <f t="shared" si="0"/>
        <v>0</v>
      </c>
    </row>
    <row r="29" spans="1:6" ht="57.6" x14ac:dyDescent="0.3">
      <c r="A29" s="29">
        <v>21</v>
      </c>
      <c r="B29" s="31" t="s">
        <v>116</v>
      </c>
      <c r="C29" s="78" t="s">
        <v>8</v>
      </c>
      <c r="D29" s="56">
        <v>1</v>
      </c>
      <c r="E29" s="81"/>
      <c r="F29" s="124">
        <f t="shared" si="0"/>
        <v>0</v>
      </c>
    </row>
    <row r="30" spans="1:6" ht="43.2" x14ac:dyDescent="0.3">
      <c r="A30" s="29">
        <v>22</v>
      </c>
      <c r="B30" s="31" t="s">
        <v>260</v>
      </c>
      <c r="C30" s="78" t="s">
        <v>9</v>
      </c>
      <c r="D30" s="38">
        <v>500</v>
      </c>
      <c r="E30" s="81"/>
      <c r="F30" s="124">
        <f t="shared" si="0"/>
        <v>0</v>
      </c>
    </row>
    <row r="31" spans="1:6" ht="48.75" customHeight="1" x14ac:dyDescent="0.3">
      <c r="A31" s="29">
        <v>23</v>
      </c>
      <c r="B31" s="31" t="s">
        <v>137</v>
      </c>
      <c r="C31" s="78" t="s">
        <v>8</v>
      </c>
      <c r="D31" s="38">
        <v>1</v>
      </c>
      <c r="E31" s="81"/>
      <c r="F31" s="124">
        <f t="shared" si="0"/>
        <v>0</v>
      </c>
    </row>
    <row r="32" spans="1:6" ht="72" x14ac:dyDescent="0.3">
      <c r="A32" s="29">
        <v>24</v>
      </c>
      <c r="B32" s="31" t="s">
        <v>261</v>
      </c>
      <c r="C32" s="78" t="s">
        <v>32</v>
      </c>
      <c r="D32" s="38">
        <v>120</v>
      </c>
      <c r="E32" s="81"/>
      <c r="F32" s="124">
        <f t="shared" si="0"/>
        <v>0</v>
      </c>
    </row>
    <row r="33" spans="1:6" ht="43.2" x14ac:dyDescent="0.3">
      <c r="A33" s="29">
        <v>25</v>
      </c>
      <c r="B33" s="4" t="s">
        <v>238</v>
      </c>
      <c r="C33" s="78" t="s">
        <v>10</v>
      </c>
      <c r="D33" s="38">
        <v>3</v>
      </c>
      <c r="E33" s="81"/>
      <c r="F33" s="124">
        <f t="shared" si="0"/>
        <v>0</v>
      </c>
    </row>
    <row r="34" spans="1:6" ht="43.2" x14ac:dyDescent="0.3">
      <c r="A34" s="29">
        <v>26</v>
      </c>
      <c r="B34" s="4" t="s">
        <v>139</v>
      </c>
      <c r="C34" s="78" t="s">
        <v>10</v>
      </c>
      <c r="D34" s="38">
        <v>25</v>
      </c>
      <c r="E34" s="81"/>
      <c r="F34" s="124">
        <f t="shared" si="0"/>
        <v>0</v>
      </c>
    </row>
    <row r="35" spans="1:6" ht="28.8" x14ac:dyDescent="0.3">
      <c r="A35" s="29">
        <v>27</v>
      </c>
      <c r="B35" s="4" t="s">
        <v>239</v>
      </c>
      <c r="C35" s="109" t="s">
        <v>10</v>
      </c>
      <c r="D35" s="38">
        <v>3</v>
      </c>
      <c r="E35" s="81"/>
      <c r="F35" s="124">
        <f t="shared" si="0"/>
        <v>0</v>
      </c>
    </row>
    <row r="36" spans="1:6" ht="28.8" x14ac:dyDescent="0.3">
      <c r="A36" s="29">
        <v>28</v>
      </c>
      <c r="B36" s="4" t="s">
        <v>301</v>
      </c>
      <c r="C36" s="141" t="s">
        <v>306</v>
      </c>
      <c r="D36" s="38">
        <v>1</v>
      </c>
      <c r="E36" s="81"/>
      <c r="F36" s="136">
        <f t="shared" si="0"/>
        <v>0</v>
      </c>
    </row>
    <row r="37" spans="1:6" ht="28.8" x14ac:dyDescent="0.3">
      <c r="A37" s="29">
        <v>29</v>
      </c>
      <c r="B37" s="4" t="s">
        <v>302</v>
      </c>
      <c r="C37" s="141" t="s">
        <v>10</v>
      </c>
      <c r="D37" s="38">
        <v>1</v>
      </c>
      <c r="E37" s="81"/>
      <c r="F37" s="136">
        <f t="shared" si="0"/>
        <v>0</v>
      </c>
    </row>
    <row r="38" spans="1:6" ht="28.8" x14ac:dyDescent="0.3">
      <c r="A38" s="29">
        <v>30</v>
      </c>
      <c r="B38" s="4" t="s">
        <v>303</v>
      </c>
      <c r="C38" s="141" t="s">
        <v>10</v>
      </c>
      <c r="D38" s="38">
        <v>5</v>
      </c>
      <c r="E38" s="81"/>
      <c r="F38" s="136">
        <f t="shared" si="0"/>
        <v>0</v>
      </c>
    </row>
    <row r="39" spans="1:6" ht="28.8" x14ac:dyDescent="0.3">
      <c r="A39" s="29">
        <v>31</v>
      </c>
      <c r="B39" s="4" t="s">
        <v>304</v>
      </c>
      <c r="C39" s="141" t="s">
        <v>10</v>
      </c>
      <c r="D39" s="38">
        <v>10</v>
      </c>
      <c r="E39" s="81"/>
      <c r="F39" s="136">
        <f t="shared" si="0"/>
        <v>0</v>
      </c>
    </row>
    <row r="40" spans="1:6" ht="28.8" x14ac:dyDescent="0.3">
      <c r="A40" s="29">
        <v>32</v>
      </c>
      <c r="B40" s="4" t="s">
        <v>305</v>
      </c>
      <c r="C40" s="141" t="s">
        <v>10</v>
      </c>
      <c r="D40" s="38">
        <v>50</v>
      </c>
      <c r="E40" s="81"/>
      <c r="F40" s="136">
        <f t="shared" si="0"/>
        <v>0</v>
      </c>
    </row>
    <row r="41" spans="1:6" ht="43.8" thickBot="1" x14ac:dyDescent="0.35">
      <c r="A41" s="29">
        <v>33</v>
      </c>
      <c r="B41" s="140" t="s">
        <v>300</v>
      </c>
      <c r="C41" s="22" t="s">
        <v>8</v>
      </c>
      <c r="D41" s="23">
        <v>1</v>
      </c>
      <c r="E41" s="81"/>
      <c r="F41" s="68">
        <f t="shared" si="0"/>
        <v>0</v>
      </c>
    </row>
    <row r="42" spans="1:6" ht="15" thickTop="1" x14ac:dyDescent="0.3">
      <c r="A42" s="76"/>
      <c r="B42" s="26" t="s">
        <v>140</v>
      </c>
      <c r="E42"/>
      <c r="F42" s="63">
        <f>+SUM(F7:F41)</f>
        <v>0</v>
      </c>
    </row>
    <row r="43" spans="1:6" ht="52.5" customHeight="1" x14ac:dyDescent="0.3">
      <c r="A43"/>
      <c r="B43"/>
      <c r="C43"/>
      <c r="D43"/>
      <c r="E43"/>
      <c r="F43" s="61"/>
    </row>
    <row r="44" spans="1:6" x14ac:dyDescent="0.3">
      <c r="A44"/>
      <c r="B44"/>
      <c r="C44"/>
      <c r="D44"/>
      <c r="E44"/>
      <c r="F44" s="61"/>
    </row>
    <row r="45" spans="1:6" x14ac:dyDescent="0.3">
      <c r="A45"/>
      <c r="B45"/>
      <c r="C45"/>
      <c r="D45"/>
      <c r="E45"/>
      <c r="F45" s="61"/>
    </row>
    <row r="46" spans="1:6" ht="41.25" customHeight="1" x14ac:dyDescent="0.3">
      <c r="A46"/>
      <c r="B46"/>
      <c r="C46"/>
      <c r="D46"/>
      <c r="E46"/>
      <c r="F46" s="61"/>
    </row>
    <row r="47" spans="1:6" x14ac:dyDescent="0.3">
      <c r="A47"/>
      <c r="B47"/>
      <c r="C47"/>
      <c r="D47"/>
      <c r="E47"/>
      <c r="F47" s="61"/>
    </row>
    <row r="48" spans="1:6" x14ac:dyDescent="0.3">
      <c r="A48"/>
      <c r="B48"/>
      <c r="C48"/>
      <c r="D48"/>
      <c r="E48"/>
      <c r="F48" s="61"/>
    </row>
    <row r="49" spans="1:6" x14ac:dyDescent="0.3">
      <c r="A49"/>
      <c r="B49"/>
      <c r="C49"/>
      <c r="D49"/>
      <c r="E49"/>
      <c r="F49" s="61"/>
    </row>
    <row r="50" spans="1:6" x14ac:dyDescent="0.3">
      <c r="A50"/>
      <c r="B50"/>
      <c r="C50"/>
      <c r="D50"/>
      <c r="E50"/>
      <c r="F50" s="61"/>
    </row>
    <row r="51" spans="1:6" ht="87" customHeight="1" x14ac:dyDescent="0.3">
      <c r="A51"/>
      <c r="B51"/>
      <c r="C51"/>
      <c r="D51"/>
      <c r="E51"/>
      <c r="F51" s="61"/>
    </row>
    <row r="52" spans="1:6" ht="87" customHeight="1" x14ac:dyDescent="0.3">
      <c r="A52"/>
      <c r="B52"/>
      <c r="C52"/>
      <c r="D52"/>
      <c r="E52"/>
      <c r="F52" s="61"/>
    </row>
    <row r="53" spans="1:6" x14ac:dyDescent="0.3">
      <c r="A53"/>
      <c r="B53"/>
      <c r="C53"/>
      <c r="D53"/>
      <c r="E53"/>
      <c r="F53" s="61"/>
    </row>
    <row r="54" spans="1:6" x14ac:dyDescent="0.3">
      <c r="A54"/>
      <c r="B54"/>
      <c r="C54"/>
      <c r="D54"/>
      <c r="E54"/>
      <c r="F54" s="61"/>
    </row>
    <row r="55" spans="1:6" x14ac:dyDescent="0.3">
      <c r="B55" s="26"/>
    </row>
  </sheetData>
  <sheetProtection algorithmName="SHA-512" hashValue="UZQTUXZfCFzunwpz5D3JrQuCGyLcHKxxiHE55y6P/KNU0+u3BUXA1CtugYz9tnXArXdwYXjbHIhWr4Q4q6W0Aw==" saltValue="6sILtfjS61Tq6XmGXsi5vg==" spinCount="100000" sheet="1" selectLockedCells="1"/>
  <mergeCells count="1">
    <mergeCell ref="A1:B1"/>
  </mergeCells>
  <pageMargins left="0.7" right="0.7" top="0.75" bottom="0.75" header="0.3" footer="0.3"/>
  <pageSetup paperSize="9"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0"/>
  <sheetViews>
    <sheetView workbookViewId="0">
      <selection activeCell="G25" sqref="G25"/>
    </sheetView>
  </sheetViews>
  <sheetFormatPr defaultColWidth="9.109375" defaultRowHeight="14.4" x14ac:dyDescent="0.3"/>
  <cols>
    <col min="1" max="1" width="20.33203125" style="91" customWidth="1"/>
    <col min="2" max="3" width="9.109375" style="91"/>
    <col min="4" max="4" width="24.5546875" style="91" bestFit="1" customWidth="1"/>
    <col min="5" max="6" width="9.109375" style="91"/>
    <col min="7" max="7" width="24.44140625" style="91" bestFit="1" customWidth="1"/>
    <col min="8" max="9" width="9.109375" style="91"/>
    <col min="10" max="10" width="24.44140625" style="91" bestFit="1" customWidth="1"/>
    <col min="11" max="12" width="9.109375" style="91"/>
    <col min="13" max="13" width="24.44140625" style="91" bestFit="1" customWidth="1"/>
    <col min="14" max="15" width="9.109375" style="91"/>
    <col min="16" max="16" width="24.44140625" style="91" bestFit="1" customWidth="1"/>
    <col min="17" max="16384" width="9.109375" style="91"/>
  </cols>
  <sheetData>
    <row r="1" spans="1:18" x14ac:dyDescent="0.3">
      <c r="A1" s="91" t="s">
        <v>105</v>
      </c>
      <c r="D1" s="91" t="s">
        <v>52</v>
      </c>
      <c r="G1" s="91" t="s">
        <v>57</v>
      </c>
      <c r="I1" s="91" t="s">
        <v>123</v>
      </c>
      <c r="M1" s="91" t="s">
        <v>58</v>
      </c>
      <c r="R1" s="91" t="s">
        <v>104</v>
      </c>
    </row>
    <row r="2" spans="1:18" x14ac:dyDescent="0.3">
      <c r="A2" s="91" t="s">
        <v>36</v>
      </c>
      <c r="B2" s="91">
        <v>24</v>
      </c>
      <c r="D2" s="91" t="s">
        <v>36</v>
      </c>
      <c r="G2" s="91" t="s">
        <v>36</v>
      </c>
      <c r="H2" s="91">
        <v>2.12</v>
      </c>
      <c r="M2" s="91" t="s">
        <v>36</v>
      </c>
      <c r="N2" s="91">
        <f>3.16+1.6+1.6</f>
        <v>6.3599999999999994</v>
      </c>
    </row>
    <row r="3" spans="1:18" x14ac:dyDescent="0.3">
      <c r="A3" s="91" t="s">
        <v>37</v>
      </c>
      <c r="B3" s="91">
        <v>10.1</v>
      </c>
      <c r="D3" s="91" t="s">
        <v>37</v>
      </c>
      <c r="G3" s="91" t="s">
        <v>37</v>
      </c>
      <c r="M3" s="91" t="s">
        <v>37</v>
      </c>
      <c r="N3" s="91">
        <f>0.8+1.05+1.5</f>
        <v>3.35</v>
      </c>
    </row>
    <row r="4" spans="1:18" x14ac:dyDescent="0.3">
      <c r="A4" s="91" t="s">
        <v>38</v>
      </c>
      <c r="B4" s="91">
        <v>12.7</v>
      </c>
      <c r="D4" s="91" t="s">
        <v>38</v>
      </c>
      <c r="G4" s="91" t="s">
        <v>38</v>
      </c>
      <c r="H4" s="91">
        <v>2.12</v>
      </c>
      <c r="I4" s="91">
        <v>1.6</v>
      </c>
      <c r="M4" s="91" t="s">
        <v>38</v>
      </c>
      <c r="N4" s="91">
        <f>(2*1.6)+1.57</f>
        <v>4.7700000000000005</v>
      </c>
    </row>
    <row r="5" spans="1:18" x14ac:dyDescent="0.3">
      <c r="A5" s="91" t="s">
        <v>39</v>
      </c>
      <c r="B5" s="91">
        <v>12.7</v>
      </c>
      <c r="D5" s="91" t="s">
        <v>39</v>
      </c>
      <c r="G5" s="91" t="s">
        <v>39</v>
      </c>
      <c r="H5" s="91">
        <v>2.12</v>
      </c>
      <c r="I5" s="91">
        <v>1.6</v>
      </c>
      <c r="M5" s="91" t="s">
        <v>39</v>
      </c>
      <c r="N5" s="91">
        <f>(2*1.6)+1.57</f>
        <v>4.7700000000000005</v>
      </c>
    </row>
    <row r="6" spans="1:18" x14ac:dyDescent="0.3">
      <c r="A6" s="91" t="s">
        <v>40</v>
      </c>
      <c r="B6" s="91">
        <v>12.7</v>
      </c>
      <c r="D6" s="91" t="s">
        <v>40</v>
      </c>
      <c r="G6" s="91" t="s">
        <v>40</v>
      </c>
      <c r="H6" s="91">
        <v>2.12</v>
      </c>
      <c r="I6" s="91">
        <v>1.6</v>
      </c>
      <c r="M6" s="91" t="s">
        <v>40</v>
      </c>
      <c r="N6" s="91">
        <f>(2*1.6)+1.57</f>
        <v>4.7700000000000005</v>
      </c>
    </row>
    <row r="7" spans="1:18" x14ac:dyDescent="0.3">
      <c r="A7" s="91" t="s">
        <v>41</v>
      </c>
      <c r="B7" s="91">
        <v>12.7</v>
      </c>
      <c r="D7" s="91" t="s">
        <v>41</v>
      </c>
      <c r="G7" s="91" t="s">
        <v>41</v>
      </c>
      <c r="H7" s="91">
        <v>2.12</v>
      </c>
      <c r="I7" s="91">
        <v>1.6</v>
      </c>
      <c r="M7" s="91" t="s">
        <v>41</v>
      </c>
      <c r="N7" s="91">
        <f>(2*1.6)+1.57</f>
        <v>4.7700000000000005</v>
      </c>
    </row>
    <row r="8" spans="1:18" x14ac:dyDescent="0.3">
      <c r="A8" s="91" t="s">
        <v>42</v>
      </c>
      <c r="B8" s="91">
        <v>10.4</v>
      </c>
      <c r="D8" s="91" t="s">
        <v>42</v>
      </c>
      <c r="G8" s="91" t="s">
        <v>42</v>
      </c>
      <c r="H8" s="91">
        <v>2.12</v>
      </c>
      <c r="I8" s="91">
        <v>1.6</v>
      </c>
      <c r="M8" s="91" t="s">
        <v>42</v>
      </c>
      <c r="N8" s="91">
        <f>(2*(1.57+1.6))+1.5</f>
        <v>7.84</v>
      </c>
    </row>
    <row r="9" spans="1:18" x14ac:dyDescent="0.3">
      <c r="A9" s="91" t="s">
        <v>43</v>
      </c>
      <c r="B9" s="91">
        <v>24</v>
      </c>
      <c r="D9" s="91" t="s">
        <v>43</v>
      </c>
      <c r="G9" s="91" t="s">
        <v>43</v>
      </c>
      <c r="H9" s="91">
        <v>2.12</v>
      </c>
      <c r="M9" s="91" t="s">
        <v>43</v>
      </c>
      <c r="N9" s="91">
        <v>3.2</v>
      </c>
    </row>
    <row r="10" spans="1:18" x14ac:dyDescent="0.3">
      <c r="A10" s="91" t="s">
        <v>44</v>
      </c>
      <c r="B10" s="91">
        <v>12.9</v>
      </c>
      <c r="D10" s="91" t="s">
        <v>44</v>
      </c>
      <c r="G10" s="91" t="s">
        <v>44</v>
      </c>
      <c r="H10" s="91">
        <v>2.12</v>
      </c>
      <c r="I10" s="91">
        <v>1.52</v>
      </c>
      <c r="M10" s="91" t="s">
        <v>44</v>
      </c>
      <c r="N10" s="91">
        <f>2*(1.48+1.52)</f>
        <v>6</v>
      </c>
    </row>
    <row r="11" spans="1:18" x14ac:dyDescent="0.3">
      <c r="A11" s="91" t="s">
        <v>45</v>
      </c>
      <c r="B11" s="91">
        <v>12.7</v>
      </c>
      <c r="D11" s="91" t="s">
        <v>45</v>
      </c>
      <c r="G11" s="91" t="s">
        <v>45</v>
      </c>
      <c r="H11" s="91">
        <v>2.12</v>
      </c>
      <c r="I11" s="91">
        <v>1.52</v>
      </c>
      <c r="M11" s="91" t="s">
        <v>45</v>
      </c>
      <c r="N11" s="91">
        <f>(2*1.6)+1.57</f>
        <v>4.7700000000000005</v>
      </c>
    </row>
    <row r="12" spans="1:18" x14ac:dyDescent="0.3">
      <c r="A12" s="91" t="s">
        <v>46</v>
      </c>
      <c r="B12" s="91">
        <v>12.7</v>
      </c>
      <c r="D12" s="91" t="s">
        <v>46</v>
      </c>
      <c r="G12" s="91" t="s">
        <v>46</v>
      </c>
      <c r="H12" s="91">
        <v>2.12</v>
      </c>
      <c r="I12" s="91">
        <v>1.52</v>
      </c>
      <c r="M12" s="91" t="s">
        <v>46</v>
      </c>
      <c r="N12" s="91">
        <f t="shared" ref="N12:N18" si="0">(2*1.6)+1.57</f>
        <v>4.7700000000000005</v>
      </c>
    </row>
    <row r="13" spans="1:18" x14ac:dyDescent="0.3">
      <c r="A13" s="91" t="s">
        <v>47</v>
      </c>
      <c r="B13" s="91">
        <v>12.7</v>
      </c>
      <c r="D13" s="91" t="s">
        <v>47</v>
      </c>
      <c r="G13" s="91" t="s">
        <v>47</v>
      </c>
      <c r="H13" s="91">
        <v>2.12</v>
      </c>
      <c r="I13" s="91">
        <v>1.52</v>
      </c>
      <c r="M13" s="91" t="s">
        <v>47</v>
      </c>
      <c r="N13" s="91">
        <f t="shared" si="0"/>
        <v>4.7700000000000005</v>
      </c>
    </row>
    <row r="14" spans="1:18" x14ac:dyDescent="0.3">
      <c r="A14" s="91" t="s">
        <v>48</v>
      </c>
      <c r="B14" s="91">
        <v>17.8</v>
      </c>
      <c r="D14" s="91" t="s">
        <v>48</v>
      </c>
      <c r="G14" s="91" t="s">
        <v>48</v>
      </c>
      <c r="H14" s="91">
        <v>2.12</v>
      </c>
      <c r="I14" s="91">
        <v>1.52</v>
      </c>
      <c r="M14" s="91" t="s">
        <v>48</v>
      </c>
      <c r="N14" s="91">
        <f t="shared" si="0"/>
        <v>4.7700000000000005</v>
      </c>
    </row>
    <row r="15" spans="1:18" x14ac:dyDescent="0.3">
      <c r="A15" s="91" t="s">
        <v>49</v>
      </c>
      <c r="B15" s="91">
        <v>17.8</v>
      </c>
      <c r="D15" s="91" t="s">
        <v>49</v>
      </c>
      <c r="G15" s="91" t="s">
        <v>49</v>
      </c>
      <c r="H15" s="91">
        <v>2.12</v>
      </c>
      <c r="I15" s="91">
        <v>1.52</v>
      </c>
      <c r="M15" s="91" t="s">
        <v>49</v>
      </c>
      <c r="N15" s="91">
        <f t="shared" si="0"/>
        <v>4.7700000000000005</v>
      </c>
    </row>
    <row r="16" spans="1:18" x14ac:dyDescent="0.3">
      <c r="A16" s="91" t="s">
        <v>106</v>
      </c>
      <c r="B16" s="91">
        <v>12.7</v>
      </c>
      <c r="D16" s="91" t="s">
        <v>51</v>
      </c>
      <c r="G16" s="91" t="s">
        <v>106</v>
      </c>
      <c r="H16" s="91">
        <v>2.12</v>
      </c>
      <c r="I16" s="91">
        <v>1.52</v>
      </c>
      <c r="M16" s="91" t="s">
        <v>106</v>
      </c>
      <c r="N16" s="91">
        <f t="shared" si="0"/>
        <v>4.7700000000000005</v>
      </c>
    </row>
    <row r="17" spans="1:14" x14ac:dyDescent="0.3">
      <c r="A17" s="91" t="s">
        <v>107</v>
      </c>
      <c r="B17" s="91">
        <v>12.7</v>
      </c>
      <c r="D17" s="91" t="s">
        <v>53</v>
      </c>
      <c r="G17" s="91" t="s">
        <v>107</v>
      </c>
      <c r="H17" s="91">
        <v>2.12</v>
      </c>
      <c r="I17" s="91">
        <v>1.52</v>
      </c>
      <c r="M17" s="91" t="s">
        <v>107</v>
      </c>
      <c r="N17" s="91">
        <f t="shared" si="0"/>
        <v>4.7700000000000005</v>
      </c>
    </row>
    <row r="18" spans="1:14" x14ac:dyDescent="0.3">
      <c r="A18" s="91" t="s">
        <v>108</v>
      </c>
      <c r="B18" s="91">
        <v>18.7</v>
      </c>
      <c r="D18" s="91" t="s">
        <v>54</v>
      </c>
      <c r="G18" s="91" t="s">
        <v>108</v>
      </c>
      <c r="H18" s="91">
        <v>2.12</v>
      </c>
      <c r="I18" s="91">
        <v>1.87</v>
      </c>
      <c r="M18" s="91" t="s">
        <v>108</v>
      </c>
      <c r="N18" s="91">
        <f t="shared" si="0"/>
        <v>4.7700000000000005</v>
      </c>
    </row>
    <row r="19" spans="1:14" x14ac:dyDescent="0.3">
      <c r="A19" s="91" t="s">
        <v>109</v>
      </c>
      <c r="B19" s="91">
        <v>6.5</v>
      </c>
      <c r="D19" s="91" t="s">
        <v>55</v>
      </c>
      <c r="G19" s="91" t="s">
        <v>118</v>
      </c>
      <c r="H19" s="91">
        <v>3</v>
      </c>
      <c r="M19" s="91" t="s">
        <v>113</v>
      </c>
      <c r="N19" s="91">
        <v>2.2000000000000002</v>
      </c>
    </row>
    <row r="20" spans="1:14" x14ac:dyDescent="0.3">
      <c r="A20" s="92" t="s">
        <v>112</v>
      </c>
      <c r="B20" s="91">
        <v>4.8</v>
      </c>
      <c r="D20" s="91" t="s">
        <v>56</v>
      </c>
      <c r="G20" s="91" t="s">
        <v>110</v>
      </c>
      <c r="H20" s="91">
        <v>7.8</v>
      </c>
      <c r="I20" s="91">
        <f>2.62*2+2.97</f>
        <v>8.2100000000000009</v>
      </c>
      <c r="M20" s="91" t="s">
        <v>110</v>
      </c>
      <c r="N20" s="91">
        <v>2.97</v>
      </c>
    </row>
    <row r="21" spans="1:14" x14ac:dyDescent="0.3">
      <c r="A21" s="91" t="s">
        <v>111</v>
      </c>
      <c r="B21" s="91">
        <v>109</v>
      </c>
      <c r="D21" s="91" t="s">
        <v>50</v>
      </c>
      <c r="G21" s="91" t="s">
        <v>119</v>
      </c>
      <c r="H21" s="91">
        <v>2.92</v>
      </c>
      <c r="I21" s="91">
        <f>1.7*2+1.89*2</f>
        <v>7.18</v>
      </c>
      <c r="M21" s="91" t="s">
        <v>114</v>
      </c>
      <c r="N21" s="91">
        <v>1.71</v>
      </c>
    </row>
    <row r="22" spans="1:14" x14ac:dyDescent="0.3">
      <c r="B22" s="91">
        <f>+SUM(B2:B21)</f>
        <v>370.3</v>
      </c>
      <c r="G22" s="91" t="s">
        <v>120</v>
      </c>
      <c r="H22" s="91">
        <v>1.7</v>
      </c>
      <c r="I22" s="91">
        <f>2*1+1.7*2</f>
        <v>5.4</v>
      </c>
      <c r="N22" s="91">
        <f>+SUM(N2:N21)*2.4-2*19</f>
        <v>180.08799999999997</v>
      </c>
    </row>
    <row r="23" spans="1:14" x14ac:dyDescent="0.3">
      <c r="G23" s="91" t="s">
        <v>113</v>
      </c>
      <c r="H23" s="91">
        <v>5.3</v>
      </c>
      <c r="I23" s="91">
        <f>2.39*2+2.22*2</f>
        <v>9.2200000000000006</v>
      </c>
    </row>
    <row r="24" spans="1:14" x14ac:dyDescent="0.3">
      <c r="G24" s="91" t="s">
        <v>121</v>
      </c>
      <c r="H24" s="91">
        <f>+SUM(H2:H23)</f>
        <v>54.640000000000008</v>
      </c>
      <c r="I24" s="91" t="s">
        <v>124</v>
      </c>
      <c r="J24" s="91">
        <f>+SUM(I4:I23)</f>
        <v>52.04</v>
      </c>
    </row>
    <row r="25" spans="1:14" x14ac:dyDescent="0.3">
      <c r="G25" s="91" t="s">
        <v>122</v>
      </c>
      <c r="H25" s="91">
        <v>5.8</v>
      </c>
      <c r="J25" s="91">
        <f>+J24*2.55</f>
        <v>132.702</v>
      </c>
      <c r="M25" s="91" t="s">
        <v>115</v>
      </c>
    </row>
    <row r="26" spans="1:14" x14ac:dyDescent="0.3">
      <c r="A26" s="91" t="s">
        <v>62</v>
      </c>
      <c r="D26" s="91" t="s">
        <v>65</v>
      </c>
      <c r="H26" s="91">
        <f>+H24+6*H25</f>
        <v>89.44</v>
      </c>
      <c r="M26" s="91">
        <f>0.75+0.72</f>
        <v>1.47</v>
      </c>
    </row>
    <row r="27" spans="1:14" x14ac:dyDescent="0.3">
      <c r="A27" s="91" t="s">
        <v>63</v>
      </c>
      <c r="D27" s="91" t="s">
        <v>66</v>
      </c>
      <c r="M27" s="91">
        <f>+M26*2.45</f>
        <v>3.6015000000000001</v>
      </c>
    </row>
    <row r="28" spans="1:14" x14ac:dyDescent="0.3">
      <c r="A28" s="91" t="s">
        <v>64</v>
      </c>
      <c r="M28" s="91">
        <f>+M27*6</f>
        <v>21.609000000000002</v>
      </c>
    </row>
    <row r="29" spans="1:14" x14ac:dyDescent="0.3">
      <c r="M29" s="91">
        <f>+M28*0.3</f>
        <v>6.4827000000000004</v>
      </c>
    </row>
    <row r="30" spans="1:14" x14ac:dyDescent="0.3">
      <c r="L30" s="91">
        <v>1</v>
      </c>
    </row>
  </sheetData>
  <sheetProtection algorithmName="SHA-512" hashValue="tSRbwuDAj+tAmnKoXfAugktFlwT/76Hx1rz/dFOXSBgcewjiUnPuUGZ3T+CBpzsdiZNFpzfc4mbP+WC4EfbBMw==" saltValue="7DLaWkBLylH95ssx1nbk6Q==" spinCount="100000" sheet="1" objects="1" scenarios="1"/>
  <pageMargins left="0.7" right="0.7" top="0.75" bottom="0.75" header="0.3" footer="0.3"/>
  <pageSetup paperSize="9"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37"/>
  <sheetViews>
    <sheetView view="pageBreakPreview" zoomScaleNormal="100" zoomScaleSheetLayoutView="100" workbookViewId="0">
      <selection activeCell="E10" sqref="E10"/>
    </sheetView>
  </sheetViews>
  <sheetFormatPr defaultRowHeight="14.4" x14ac:dyDescent="0.3"/>
  <cols>
    <col min="1" max="1" width="5.5546875" style="5" customWidth="1"/>
    <col min="2" max="2" width="44.109375" style="4" customWidth="1"/>
    <col min="3" max="3" width="6" style="3" bestFit="1" customWidth="1"/>
    <col min="4" max="4" width="8" style="12" bestFit="1" customWidth="1"/>
    <col min="5" max="5" width="11.44140625" style="51" bestFit="1" customWidth="1"/>
    <col min="6" max="6" width="11.5546875" style="61" customWidth="1"/>
  </cols>
  <sheetData>
    <row r="1" spans="1:6" ht="15" customHeight="1" x14ac:dyDescent="0.3">
      <c r="A1" s="147" t="s">
        <v>12</v>
      </c>
      <c r="B1" s="147"/>
      <c r="C1" s="6" t="s">
        <v>1</v>
      </c>
      <c r="D1" s="45" t="s">
        <v>2</v>
      </c>
      <c r="E1" s="45" t="s">
        <v>4</v>
      </c>
      <c r="F1" s="64" t="s">
        <v>11</v>
      </c>
    </row>
    <row r="2" spans="1:6" x14ac:dyDescent="0.3">
      <c r="B2" s="2"/>
      <c r="D2" s="13"/>
      <c r="E2" s="55"/>
      <c r="F2" s="93"/>
    </row>
    <row r="3" spans="1:6" x14ac:dyDescent="0.3">
      <c r="B3" s="77" t="s">
        <v>5</v>
      </c>
      <c r="D3" s="13"/>
      <c r="E3" s="55"/>
      <c r="F3" s="93"/>
    </row>
    <row r="4" spans="1:6" x14ac:dyDescent="0.3">
      <c r="B4" s="77"/>
      <c r="D4" s="13"/>
      <c r="E4" s="55"/>
      <c r="F4" s="93"/>
    </row>
    <row r="5" spans="1:6" ht="115.2" x14ac:dyDescent="0.3">
      <c r="B5" s="77" t="s">
        <v>298</v>
      </c>
      <c r="D5" s="13"/>
      <c r="E5" s="55"/>
      <c r="F5" s="93"/>
    </row>
    <row r="6" spans="1:6" ht="28.8" x14ac:dyDescent="0.3">
      <c r="B6" s="77" t="s">
        <v>6</v>
      </c>
      <c r="D6" s="13"/>
      <c r="E6" s="55"/>
      <c r="F6" s="93"/>
    </row>
    <row r="7" spans="1:6" ht="28.8" x14ac:dyDescent="0.3">
      <c r="B7" s="77" t="s">
        <v>7</v>
      </c>
      <c r="D7" s="13"/>
      <c r="E7" s="55"/>
      <c r="F7" s="93"/>
    </row>
    <row r="8" spans="1:6" ht="43.2" x14ac:dyDescent="0.3">
      <c r="B8" s="77" t="s">
        <v>71</v>
      </c>
    </row>
    <row r="10" spans="1:6" ht="43.2" x14ac:dyDescent="0.3">
      <c r="A10" s="30">
        <v>1</v>
      </c>
      <c r="B10" s="32" t="s">
        <v>241</v>
      </c>
      <c r="C10" s="80" t="s">
        <v>9</v>
      </c>
      <c r="D10" s="38">
        <v>57.5</v>
      </c>
      <c r="E10" s="83"/>
      <c r="F10" s="94">
        <f t="shared" ref="F10:F30" si="0">D10*E10</f>
        <v>0</v>
      </c>
    </row>
    <row r="11" spans="1:6" ht="28.8" x14ac:dyDescent="0.3">
      <c r="A11" s="30">
        <v>2</v>
      </c>
      <c r="B11" s="32" t="s">
        <v>245</v>
      </c>
      <c r="C11" s="108" t="s">
        <v>10</v>
      </c>
      <c r="D11" s="38">
        <v>25</v>
      </c>
      <c r="E11" s="83"/>
      <c r="F11" s="94">
        <f t="shared" si="0"/>
        <v>0</v>
      </c>
    </row>
    <row r="12" spans="1:6" x14ac:dyDescent="0.3">
      <c r="A12" s="30">
        <v>3</v>
      </c>
      <c r="B12" s="32" t="s">
        <v>246</v>
      </c>
      <c r="C12" s="108" t="s">
        <v>10</v>
      </c>
      <c r="D12" s="38">
        <v>20</v>
      </c>
      <c r="E12" s="83"/>
      <c r="F12" s="94">
        <f t="shared" si="0"/>
        <v>0</v>
      </c>
    </row>
    <row r="13" spans="1:6" ht="28.8" x14ac:dyDescent="0.3">
      <c r="A13" s="30">
        <v>4</v>
      </c>
      <c r="B13" s="32" t="s">
        <v>307</v>
      </c>
      <c r="C13" s="108" t="s">
        <v>10</v>
      </c>
      <c r="D13" s="38">
        <v>5</v>
      </c>
      <c r="E13" s="83"/>
      <c r="F13" s="94">
        <f t="shared" si="0"/>
        <v>0</v>
      </c>
    </row>
    <row r="14" spans="1:6" ht="28.8" x14ac:dyDescent="0.3">
      <c r="A14" s="30"/>
      <c r="B14" s="32" t="s">
        <v>308</v>
      </c>
      <c r="C14" s="134" t="s">
        <v>10</v>
      </c>
      <c r="D14" s="38">
        <v>10</v>
      </c>
      <c r="E14" s="83"/>
      <c r="F14" s="94">
        <f t="shared" si="0"/>
        <v>0</v>
      </c>
    </row>
    <row r="15" spans="1:6" ht="28.8" x14ac:dyDescent="0.3">
      <c r="A15" s="30">
        <v>5</v>
      </c>
      <c r="B15" s="32" t="s">
        <v>247</v>
      </c>
      <c r="C15" s="108" t="s">
        <v>10</v>
      </c>
      <c r="D15" s="38">
        <v>50</v>
      </c>
      <c r="E15" s="83"/>
      <c r="F15" s="94">
        <f t="shared" si="0"/>
        <v>0</v>
      </c>
    </row>
    <row r="16" spans="1:6" s="27" customFormat="1" ht="129.6" x14ac:dyDescent="0.3">
      <c r="A16" s="30">
        <v>6</v>
      </c>
      <c r="B16" s="42" t="s">
        <v>242</v>
      </c>
      <c r="C16" s="41" t="s">
        <v>9</v>
      </c>
      <c r="D16" s="38">
        <v>95</v>
      </c>
      <c r="E16" s="83"/>
      <c r="F16" s="94">
        <f t="shared" si="0"/>
        <v>0</v>
      </c>
    </row>
    <row r="17" spans="1:6" s="27" customFormat="1" ht="72" x14ac:dyDescent="0.3">
      <c r="A17" s="30">
        <v>7</v>
      </c>
      <c r="B17" s="2" t="s">
        <v>243</v>
      </c>
      <c r="C17" s="41" t="s">
        <v>9</v>
      </c>
      <c r="D17" s="38">
        <v>20.7</v>
      </c>
      <c r="E17" s="83"/>
      <c r="F17" s="94">
        <f t="shared" si="0"/>
        <v>0</v>
      </c>
    </row>
    <row r="18" spans="1:6" s="27" customFormat="1" ht="187.2" x14ac:dyDescent="0.3">
      <c r="A18" s="30">
        <v>8</v>
      </c>
      <c r="B18" s="43" t="s">
        <v>262</v>
      </c>
      <c r="C18" s="80" t="s">
        <v>9</v>
      </c>
      <c r="D18" s="38">
        <v>72.150000000000006</v>
      </c>
      <c r="E18" s="83"/>
      <c r="F18" s="94">
        <f t="shared" si="0"/>
        <v>0</v>
      </c>
    </row>
    <row r="19" spans="1:6" s="27" customFormat="1" ht="100.8" x14ac:dyDescent="0.3">
      <c r="A19" s="30">
        <v>9</v>
      </c>
      <c r="B19" s="79" t="s">
        <v>85</v>
      </c>
      <c r="C19" s="80" t="s">
        <v>9</v>
      </c>
      <c r="D19" s="38">
        <v>540</v>
      </c>
      <c r="E19" s="83"/>
      <c r="F19" s="94">
        <f t="shared" si="0"/>
        <v>0</v>
      </c>
    </row>
    <row r="20" spans="1:6" s="27" customFormat="1" ht="43.2" x14ac:dyDescent="0.3">
      <c r="A20" s="30">
        <v>10</v>
      </c>
      <c r="B20" s="32" t="s">
        <v>125</v>
      </c>
      <c r="C20" s="41" t="s">
        <v>9</v>
      </c>
      <c r="D20" s="38">
        <v>6.75</v>
      </c>
      <c r="E20" s="83"/>
      <c r="F20" s="94">
        <f t="shared" si="0"/>
        <v>0</v>
      </c>
    </row>
    <row r="21" spans="1:6" s="27" customFormat="1" ht="72" x14ac:dyDescent="0.3">
      <c r="A21" s="30">
        <v>11</v>
      </c>
      <c r="B21" s="79" t="s">
        <v>141</v>
      </c>
      <c r="C21" s="80" t="s">
        <v>32</v>
      </c>
      <c r="D21" s="38">
        <v>1000</v>
      </c>
      <c r="E21" s="83"/>
      <c r="F21" s="94">
        <f t="shared" si="0"/>
        <v>0</v>
      </c>
    </row>
    <row r="22" spans="1:6" s="27" customFormat="1" ht="72" x14ac:dyDescent="0.3">
      <c r="A22" s="30">
        <v>12</v>
      </c>
      <c r="B22" s="79" t="s">
        <v>142</v>
      </c>
      <c r="C22" s="80" t="s">
        <v>32</v>
      </c>
      <c r="D22" s="38">
        <v>500</v>
      </c>
      <c r="E22" s="83"/>
      <c r="F22" s="94">
        <f t="shared" si="0"/>
        <v>0</v>
      </c>
    </row>
    <row r="23" spans="1:6" s="27" customFormat="1" ht="28.8" x14ac:dyDescent="0.3">
      <c r="A23" s="30">
        <v>13</v>
      </c>
      <c r="B23" s="17" t="s">
        <v>229</v>
      </c>
      <c r="C23" s="53" t="s">
        <v>32</v>
      </c>
      <c r="D23" s="65">
        <v>150</v>
      </c>
      <c r="E23" s="83"/>
      <c r="F23" s="94">
        <f t="shared" si="0"/>
        <v>0</v>
      </c>
    </row>
    <row r="24" spans="1:6" ht="86.4" x14ac:dyDescent="0.3">
      <c r="A24" s="30">
        <v>14</v>
      </c>
      <c r="B24" s="32" t="s">
        <v>244</v>
      </c>
      <c r="C24" s="41" t="s">
        <v>9</v>
      </c>
      <c r="D24" s="38">
        <v>500</v>
      </c>
      <c r="E24" s="83"/>
      <c r="F24" s="94">
        <f t="shared" si="0"/>
        <v>0</v>
      </c>
    </row>
    <row r="25" spans="1:6" ht="28.8" x14ac:dyDescent="0.3">
      <c r="A25" s="30">
        <v>15</v>
      </c>
      <c r="B25" s="123" t="s">
        <v>252</v>
      </c>
      <c r="C25" s="41" t="s">
        <v>10</v>
      </c>
      <c r="D25" s="38">
        <v>4</v>
      </c>
      <c r="E25" s="83"/>
      <c r="F25" s="94">
        <f t="shared" si="0"/>
        <v>0</v>
      </c>
    </row>
    <row r="26" spans="1:6" ht="43.2" x14ac:dyDescent="0.3">
      <c r="A26" s="30">
        <v>16</v>
      </c>
      <c r="B26" s="123" t="s">
        <v>288</v>
      </c>
      <c r="C26" s="41" t="s">
        <v>8</v>
      </c>
      <c r="D26" s="38">
        <v>1</v>
      </c>
      <c r="E26" s="83"/>
      <c r="F26" s="94">
        <f t="shared" si="0"/>
        <v>0</v>
      </c>
    </row>
    <row r="27" spans="1:6" ht="28.8" x14ac:dyDescent="0.3">
      <c r="A27" s="30">
        <v>17</v>
      </c>
      <c r="B27" s="123" t="s">
        <v>289</v>
      </c>
      <c r="C27" s="41" t="s">
        <v>32</v>
      </c>
      <c r="D27" s="38">
        <v>99.5</v>
      </c>
      <c r="E27" s="83"/>
      <c r="F27" s="94">
        <f t="shared" si="0"/>
        <v>0</v>
      </c>
    </row>
    <row r="28" spans="1:6" ht="43.2" x14ac:dyDescent="0.3">
      <c r="A28" s="148">
        <v>18</v>
      </c>
      <c r="B28" s="39" t="s">
        <v>13</v>
      </c>
      <c r="C28" s="80"/>
      <c r="D28" s="38"/>
      <c r="E28" s="83"/>
      <c r="F28" s="94">
        <f t="shared" si="0"/>
        <v>0</v>
      </c>
    </row>
    <row r="29" spans="1:6" x14ac:dyDescent="0.3">
      <c r="A29" s="148"/>
      <c r="B29" s="40" t="s">
        <v>14</v>
      </c>
      <c r="C29" s="80" t="s">
        <v>15</v>
      </c>
      <c r="D29" s="38">
        <v>50</v>
      </c>
      <c r="E29" s="83"/>
      <c r="F29" s="94">
        <f t="shared" si="0"/>
        <v>0</v>
      </c>
    </row>
    <row r="30" spans="1:6" x14ac:dyDescent="0.3">
      <c r="A30" s="149"/>
      <c r="B30" s="40" t="s">
        <v>16</v>
      </c>
      <c r="C30" s="80" t="s">
        <v>15</v>
      </c>
      <c r="D30" s="38">
        <v>50</v>
      </c>
      <c r="E30" s="83"/>
      <c r="F30" s="94">
        <f t="shared" si="0"/>
        <v>0</v>
      </c>
    </row>
    <row r="31" spans="1:6" ht="15" thickBot="1" x14ac:dyDescent="0.35">
      <c r="A31" s="22"/>
      <c r="B31" s="21"/>
      <c r="C31" s="22"/>
      <c r="D31" s="23"/>
      <c r="E31" s="24"/>
      <c r="F31" s="68"/>
    </row>
    <row r="32" spans="1:6" ht="15" thickTop="1" x14ac:dyDescent="0.3">
      <c r="A32" s="76"/>
      <c r="B32" s="26" t="s">
        <v>143</v>
      </c>
      <c r="C32" s="76"/>
      <c r="D32" s="52"/>
      <c r="E32" s="12"/>
      <c r="F32" s="63">
        <f>+SUM(F10:F30)</f>
        <v>0</v>
      </c>
    </row>
    <row r="33" spans="1:2" x14ac:dyDescent="0.3">
      <c r="A33" s="30"/>
    </row>
    <row r="34" spans="1:2" x14ac:dyDescent="0.3">
      <c r="A34" s="30"/>
    </row>
    <row r="35" spans="1:2" x14ac:dyDescent="0.3">
      <c r="A35" s="30"/>
    </row>
    <row r="37" spans="1:2" x14ac:dyDescent="0.3">
      <c r="B37" s="2"/>
    </row>
  </sheetData>
  <sheetProtection algorithmName="SHA-512" hashValue="Bl1flIZ1/2O7Jcl0oXM6xR6BIDq+q4B3GqVIGBkGtEDnHyzIUH9tAHqnxNNU2cSbUTz9cblfZQrXAqOOnCJQYw==" saltValue="v2kjnMrRcBEcZ65xRKM+Hw==" spinCount="100000" sheet="1" selectLockedCells="1"/>
  <mergeCells count="2">
    <mergeCell ref="A1:B1"/>
    <mergeCell ref="A28:A30"/>
  </mergeCells>
  <pageMargins left="0.7" right="0.7" top="0.75" bottom="0.75" header="0.3" footer="0.3"/>
  <pageSetup paperSize="9"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2"/>
  <sheetViews>
    <sheetView workbookViewId="0">
      <selection activeCell="H11" sqref="H11"/>
    </sheetView>
  </sheetViews>
  <sheetFormatPr defaultColWidth="9.109375" defaultRowHeight="14.4" x14ac:dyDescent="0.3"/>
  <cols>
    <col min="1" max="1" width="17" style="91" bestFit="1" customWidth="1"/>
    <col min="2" max="6" width="9.109375" style="91"/>
    <col min="7" max="7" width="23.33203125" style="91" bestFit="1" customWidth="1"/>
    <col min="8" max="11" width="9.109375" style="91"/>
    <col min="12" max="12" width="18" style="91" bestFit="1" customWidth="1"/>
    <col min="13" max="16384" width="9.109375" style="91"/>
  </cols>
  <sheetData>
    <row r="1" spans="1:12" x14ac:dyDescent="0.3">
      <c r="G1" s="91" t="s">
        <v>131</v>
      </c>
    </row>
    <row r="2" spans="1:12" x14ac:dyDescent="0.3">
      <c r="A2" s="91" t="s">
        <v>130</v>
      </c>
      <c r="B2" s="91">
        <f>6*2.58</f>
        <v>15.48</v>
      </c>
      <c r="G2" s="91" t="s">
        <v>130</v>
      </c>
      <c r="H2" s="91">
        <f>3.2*2.45-4</f>
        <v>3.8400000000000007</v>
      </c>
    </row>
    <row r="3" spans="1:12" x14ac:dyDescent="0.3">
      <c r="A3" s="91" t="s">
        <v>126</v>
      </c>
      <c r="C3" s="91" t="s">
        <v>128</v>
      </c>
      <c r="D3" s="91" t="s">
        <v>129</v>
      </c>
      <c r="H3" s="91">
        <f>+H2*2</f>
        <v>7.6800000000000015</v>
      </c>
      <c r="I3" s="91">
        <f>+H3*6</f>
        <v>46.080000000000013</v>
      </c>
    </row>
    <row r="4" spans="1:12" x14ac:dyDescent="0.3">
      <c r="A4" s="91" t="s">
        <v>36</v>
      </c>
    </row>
    <row r="5" spans="1:12" x14ac:dyDescent="0.3">
      <c r="A5" s="91" t="s">
        <v>37</v>
      </c>
    </row>
    <row r="6" spans="1:12" x14ac:dyDescent="0.3">
      <c r="A6" s="91" t="s">
        <v>38</v>
      </c>
      <c r="B6" s="91">
        <v>3.5</v>
      </c>
      <c r="C6" s="91">
        <v>2.2000000000000002</v>
      </c>
      <c r="D6" s="91">
        <v>1.6</v>
      </c>
      <c r="E6" s="91">
        <f>2*(D6+C6)</f>
        <v>7.6000000000000005</v>
      </c>
    </row>
    <row r="7" spans="1:12" x14ac:dyDescent="0.3">
      <c r="A7" s="91" t="s">
        <v>39</v>
      </c>
      <c r="B7" s="91">
        <v>3.5</v>
      </c>
      <c r="C7" s="91">
        <v>2.2000000000000002</v>
      </c>
      <c r="D7" s="91">
        <v>1.6</v>
      </c>
      <c r="E7" s="91">
        <f t="shared" ref="E7:E24" si="0">2*(D7+C7)</f>
        <v>7.6000000000000005</v>
      </c>
      <c r="H7" s="91" t="s">
        <v>132</v>
      </c>
    </row>
    <row r="8" spans="1:12" x14ac:dyDescent="0.3">
      <c r="A8" s="91" t="s">
        <v>40</v>
      </c>
      <c r="B8" s="91">
        <v>3.5</v>
      </c>
      <c r="C8" s="91">
        <v>2.2000000000000002</v>
      </c>
      <c r="D8" s="91">
        <v>1.6</v>
      </c>
      <c r="E8" s="91">
        <f t="shared" si="0"/>
        <v>7.6000000000000005</v>
      </c>
      <c r="H8" s="91" t="s">
        <v>36</v>
      </c>
    </row>
    <row r="9" spans="1:12" x14ac:dyDescent="0.3">
      <c r="A9" s="91" t="s">
        <v>41</v>
      </c>
      <c r="B9" s="91">
        <v>3.5</v>
      </c>
      <c r="C9" s="91">
        <v>2.2000000000000002</v>
      </c>
      <c r="D9" s="91">
        <v>1.6</v>
      </c>
      <c r="E9" s="91">
        <f t="shared" si="0"/>
        <v>7.6000000000000005</v>
      </c>
      <c r="H9" s="91" t="s">
        <v>37</v>
      </c>
    </row>
    <row r="10" spans="1:12" x14ac:dyDescent="0.3">
      <c r="A10" s="91" t="s">
        <v>42</v>
      </c>
      <c r="B10" s="91">
        <v>3.5</v>
      </c>
      <c r="C10" s="91">
        <v>2.2000000000000002</v>
      </c>
      <c r="D10" s="91">
        <v>1.6</v>
      </c>
      <c r="E10" s="91">
        <f t="shared" si="0"/>
        <v>7.6000000000000005</v>
      </c>
      <c r="H10" s="91" t="s">
        <v>38</v>
      </c>
      <c r="I10" s="91">
        <v>14</v>
      </c>
      <c r="J10" s="91">
        <v>5.65</v>
      </c>
      <c r="K10" s="91">
        <v>3.2</v>
      </c>
      <c r="L10" s="91">
        <f>2*(J10+K10)</f>
        <v>17.700000000000003</v>
      </c>
    </row>
    <row r="11" spans="1:12" x14ac:dyDescent="0.3">
      <c r="A11" s="91" t="s">
        <v>43</v>
      </c>
      <c r="B11" s="91">
        <v>3.5</v>
      </c>
      <c r="C11" s="91">
        <v>2.2000000000000002</v>
      </c>
      <c r="D11" s="91">
        <v>1.6</v>
      </c>
      <c r="E11" s="91">
        <f t="shared" si="0"/>
        <v>7.6000000000000005</v>
      </c>
      <c r="H11" s="91" t="s">
        <v>39</v>
      </c>
      <c r="I11" s="91">
        <v>14</v>
      </c>
      <c r="J11" s="91">
        <v>5.65</v>
      </c>
      <c r="K11" s="91">
        <v>3.2</v>
      </c>
      <c r="L11" s="91">
        <f t="shared" ref="L11:L26" si="1">2*(J11+K11)</f>
        <v>17.700000000000003</v>
      </c>
    </row>
    <row r="12" spans="1:12" x14ac:dyDescent="0.3">
      <c r="A12" s="91" t="s">
        <v>44</v>
      </c>
      <c r="B12" s="91">
        <v>2.5</v>
      </c>
      <c r="C12" s="91">
        <v>1.85</v>
      </c>
      <c r="D12" s="91">
        <v>1.52</v>
      </c>
      <c r="E12" s="91">
        <f t="shared" si="0"/>
        <v>6.74</v>
      </c>
      <c r="H12" s="91" t="s">
        <v>40</v>
      </c>
      <c r="I12" s="91">
        <v>14</v>
      </c>
      <c r="J12" s="91">
        <v>5.65</v>
      </c>
      <c r="K12" s="91">
        <v>3.2</v>
      </c>
      <c r="L12" s="91">
        <f t="shared" si="1"/>
        <v>17.700000000000003</v>
      </c>
    </row>
    <row r="13" spans="1:12" x14ac:dyDescent="0.3">
      <c r="A13" s="91" t="s">
        <v>45</v>
      </c>
      <c r="B13" s="91">
        <v>2.5</v>
      </c>
      <c r="C13" s="91">
        <v>1.85</v>
      </c>
      <c r="D13" s="91">
        <v>1.52</v>
      </c>
      <c r="E13" s="91">
        <f t="shared" si="0"/>
        <v>6.74</v>
      </c>
      <c r="H13" s="91" t="s">
        <v>41</v>
      </c>
      <c r="I13" s="91">
        <v>14</v>
      </c>
      <c r="J13" s="91">
        <v>5.65</v>
      </c>
      <c r="K13" s="91">
        <v>3.2</v>
      </c>
      <c r="L13" s="91">
        <f t="shared" si="1"/>
        <v>17.700000000000003</v>
      </c>
    </row>
    <row r="14" spans="1:12" x14ac:dyDescent="0.3">
      <c r="A14" s="91" t="s">
        <v>46</v>
      </c>
      <c r="B14" s="91">
        <v>2.5</v>
      </c>
      <c r="C14" s="91">
        <v>1.85</v>
      </c>
      <c r="D14" s="91">
        <v>1.52</v>
      </c>
      <c r="E14" s="91">
        <f t="shared" si="0"/>
        <v>6.74</v>
      </c>
      <c r="H14" s="91" t="s">
        <v>42</v>
      </c>
      <c r="I14" s="91">
        <v>14</v>
      </c>
      <c r="J14" s="91">
        <v>5.65</v>
      </c>
      <c r="K14" s="91">
        <v>3.2</v>
      </c>
      <c r="L14" s="91">
        <f t="shared" si="1"/>
        <v>17.700000000000003</v>
      </c>
    </row>
    <row r="15" spans="1:12" x14ac:dyDescent="0.3">
      <c r="A15" s="91" t="s">
        <v>47</v>
      </c>
      <c r="B15" s="91">
        <v>2.5</v>
      </c>
      <c r="C15" s="91">
        <v>1.85</v>
      </c>
      <c r="D15" s="91">
        <v>1.52</v>
      </c>
      <c r="E15" s="91">
        <f t="shared" si="0"/>
        <v>6.74</v>
      </c>
      <c r="H15" s="91" t="s">
        <v>43</v>
      </c>
      <c r="I15" s="91">
        <v>17.2</v>
      </c>
      <c r="J15" s="91">
        <v>6.7</v>
      </c>
      <c r="K15" s="91">
        <v>3.2</v>
      </c>
      <c r="L15" s="91">
        <f t="shared" si="1"/>
        <v>19.8</v>
      </c>
    </row>
    <row r="16" spans="1:12" x14ac:dyDescent="0.3">
      <c r="A16" s="91" t="s">
        <v>48</v>
      </c>
      <c r="B16" s="91">
        <v>2.5</v>
      </c>
      <c r="C16" s="91">
        <v>1.85</v>
      </c>
      <c r="D16" s="91">
        <v>1.52</v>
      </c>
      <c r="E16" s="91">
        <f t="shared" si="0"/>
        <v>6.74</v>
      </c>
      <c r="H16" s="91" t="s">
        <v>44</v>
      </c>
      <c r="I16" s="91">
        <v>12.5</v>
      </c>
      <c r="J16" s="91">
        <v>4.8</v>
      </c>
      <c r="K16" s="91">
        <v>3.2</v>
      </c>
      <c r="L16" s="91">
        <f t="shared" si="1"/>
        <v>16</v>
      </c>
    </row>
    <row r="17" spans="1:12" x14ac:dyDescent="0.3">
      <c r="A17" s="91" t="s">
        <v>49</v>
      </c>
      <c r="B17" s="91">
        <v>2.5</v>
      </c>
      <c r="C17" s="91">
        <v>1.85</v>
      </c>
      <c r="D17" s="91">
        <v>1.52</v>
      </c>
      <c r="E17" s="91">
        <f t="shared" si="0"/>
        <v>6.74</v>
      </c>
      <c r="H17" s="91" t="s">
        <v>45</v>
      </c>
      <c r="I17" s="91">
        <v>12.5</v>
      </c>
      <c r="J17" s="91">
        <v>4.8</v>
      </c>
      <c r="K17" s="91">
        <v>3.2</v>
      </c>
      <c r="L17" s="91">
        <f t="shared" si="1"/>
        <v>16</v>
      </c>
    </row>
    <row r="18" spans="1:12" x14ac:dyDescent="0.3">
      <c r="A18" s="91" t="s">
        <v>106</v>
      </c>
      <c r="B18" s="91">
        <v>2.5</v>
      </c>
      <c r="C18" s="91">
        <v>1.85</v>
      </c>
      <c r="D18" s="91">
        <v>1.52</v>
      </c>
      <c r="E18" s="91">
        <f t="shared" si="0"/>
        <v>6.74</v>
      </c>
      <c r="H18" s="91" t="s">
        <v>46</v>
      </c>
      <c r="I18" s="91">
        <v>12.5</v>
      </c>
      <c r="J18" s="91">
        <v>4.8</v>
      </c>
      <c r="K18" s="91">
        <v>3.2</v>
      </c>
      <c r="L18" s="91">
        <f t="shared" si="1"/>
        <v>16</v>
      </c>
    </row>
    <row r="19" spans="1:12" x14ac:dyDescent="0.3">
      <c r="A19" s="91" t="s">
        <v>107</v>
      </c>
      <c r="B19" s="91">
        <v>2.5</v>
      </c>
      <c r="C19" s="91">
        <v>1.85</v>
      </c>
      <c r="D19" s="91">
        <v>1.52</v>
      </c>
      <c r="E19" s="91">
        <f t="shared" si="0"/>
        <v>6.74</v>
      </c>
      <c r="H19" s="91" t="s">
        <v>47</v>
      </c>
      <c r="I19" s="91">
        <v>12.5</v>
      </c>
      <c r="J19" s="91">
        <v>4.8</v>
      </c>
      <c r="K19" s="91">
        <v>3.2</v>
      </c>
      <c r="L19" s="91">
        <f t="shared" si="1"/>
        <v>16</v>
      </c>
    </row>
    <row r="20" spans="1:12" x14ac:dyDescent="0.3">
      <c r="A20" s="91" t="s">
        <v>108</v>
      </c>
      <c r="B20" s="91">
        <v>2.5</v>
      </c>
      <c r="C20" s="91">
        <v>1.85</v>
      </c>
      <c r="D20" s="91">
        <v>1.52</v>
      </c>
      <c r="E20" s="91">
        <f t="shared" si="0"/>
        <v>6.74</v>
      </c>
      <c r="H20" s="91" t="s">
        <v>48</v>
      </c>
      <c r="I20" s="91">
        <v>17.3</v>
      </c>
      <c r="J20" s="91">
        <v>0.3</v>
      </c>
      <c r="K20" s="91">
        <v>3.2</v>
      </c>
      <c r="L20" s="91">
        <f t="shared" si="1"/>
        <v>7</v>
      </c>
    </row>
    <row r="21" spans="1:12" x14ac:dyDescent="0.3">
      <c r="A21" s="91" t="s">
        <v>87</v>
      </c>
      <c r="B21" s="91">
        <v>3.8</v>
      </c>
      <c r="C21" s="91">
        <v>2.4300000000000002</v>
      </c>
      <c r="D21" s="91">
        <v>1.48</v>
      </c>
      <c r="E21" s="91">
        <f t="shared" si="0"/>
        <v>7.82</v>
      </c>
      <c r="H21" s="91" t="s">
        <v>49</v>
      </c>
      <c r="I21" s="91">
        <v>17.3</v>
      </c>
      <c r="J21" s="91">
        <v>6.3</v>
      </c>
      <c r="K21" s="91">
        <v>3.2</v>
      </c>
      <c r="L21" s="91">
        <f t="shared" si="1"/>
        <v>19</v>
      </c>
    </row>
    <row r="22" spans="1:12" x14ac:dyDescent="0.3">
      <c r="A22" s="91" t="s">
        <v>86</v>
      </c>
      <c r="B22" s="91">
        <v>12.68</v>
      </c>
      <c r="C22" s="91">
        <v>3.04</v>
      </c>
      <c r="D22" s="91">
        <v>2.2200000000000002</v>
      </c>
      <c r="E22" s="91">
        <f t="shared" si="0"/>
        <v>10.52</v>
      </c>
      <c r="H22" s="91" t="s">
        <v>106</v>
      </c>
      <c r="I22" s="91">
        <v>12.5</v>
      </c>
      <c r="J22" s="91">
        <v>4.8</v>
      </c>
      <c r="K22" s="91">
        <v>3.2</v>
      </c>
      <c r="L22" s="91">
        <f t="shared" si="1"/>
        <v>16</v>
      </c>
    </row>
    <row r="23" spans="1:12" x14ac:dyDescent="0.3">
      <c r="A23" s="91" t="s">
        <v>127</v>
      </c>
      <c r="B23" s="91">
        <v>1.7</v>
      </c>
      <c r="C23" s="91">
        <v>1</v>
      </c>
      <c r="D23" s="91">
        <v>1.7</v>
      </c>
      <c r="E23" s="91">
        <f t="shared" si="0"/>
        <v>5.4</v>
      </c>
      <c r="H23" s="91" t="s">
        <v>107</v>
      </c>
      <c r="I23" s="91">
        <v>12.5</v>
      </c>
      <c r="J23" s="91">
        <v>4.8</v>
      </c>
      <c r="K23" s="91">
        <v>3.2</v>
      </c>
      <c r="L23" s="91">
        <f t="shared" si="1"/>
        <v>16</v>
      </c>
    </row>
    <row r="24" spans="1:12" x14ac:dyDescent="0.3">
      <c r="A24" s="91" t="s">
        <v>86</v>
      </c>
      <c r="B24" s="91">
        <v>6.56</v>
      </c>
      <c r="C24" s="91">
        <v>4.2699999999999996</v>
      </c>
      <c r="D24" s="91">
        <v>3.04</v>
      </c>
      <c r="E24" s="91">
        <f t="shared" si="0"/>
        <v>14.62</v>
      </c>
      <c r="H24" s="91" t="s">
        <v>108</v>
      </c>
      <c r="I24" s="91">
        <v>18.8</v>
      </c>
      <c r="J24" s="91">
        <v>4.95</v>
      </c>
      <c r="K24" s="91">
        <v>3.3</v>
      </c>
      <c r="L24" s="91">
        <f t="shared" si="1"/>
        <v>16.5</v>
      </c>
    </row>
    <row r="25" spans="1:12" x14ac:dyDescent="0.3">
      <c r="B25" s="91">
        <f>+SUM(B4:B24)+B2</f>
        <v>83.72</v>
      </c>
      <c r="E25" s="91">
        <f>+SUM(E6:E24)</f>
        <v>144.61999999999998</v>
      </c>
      <c r="F25" s="91">
        <f>+E25*0.2</f>
        <v>28.923999999999996</v>
      </c>
      <c r="H25" s="91" t="s">
        <v>87</v>
      </c>
      <c r="I25" s="91">
        <v>29</v>
      </c>
      <c r="J25" s="91">
        <f>3.2+3.2</f>
        <v>6.4</v>
      </c>
      <c r="K25" s="91">
        <f>4.9+3.15</f>
        <v>8.0500000000000007</v>
      </c>
      <c r="L25" s="91">
        <f t="shared" si="1"/>
        <v>28.900000000000002</v>
      </c>
    </row>
    <row r="26" spans="1:12" x14ac:dyDescent="0.3">
      <c r="B26" s="91">
        <f>+B25+F25</f>
        <v>112.64399999999999</v>
      </c>
      <c r="H26" s="91" t="s">
        <v>133</v>
      </c>
      <c r="I26" s="91">
        <v>7.2</v>
      </c>
      <c r="J26" s="91">
        <v>2.5</v>
      </c>
      <c r="K26" s="91">
        <v>3.2</v>
      </c>
      <c r="L26" s="91">
        <f t="shared" si="1"/>
        <v>11.4</v>
      </c>
    </row>
    <row r="27" spans="1:12" x14ac:dyDescent="0.3">
      <c r="C27" s="91">
        <f>+I32+B26</f>
        <v>473.44400000000002</v>
      </c>
      <c r="H27" s="91" t="s">
        <v>111</v>
      </c>
      <c r="I27" s="91">
        <v>109</v>
      </c>
    </row>
    <row r="28" spans="1:12" x14ac:dyDescent="0.3">
      <c r="H28" s="91" t="s">
        <v>80</v>
      </c>
      <c r="I28" s="91">
        <v>3.3</v>
      </c>
      <c r="J28" s="91">
        <v>1.9</v>
      </c>
      <c r="K28" s="91">
        <v>1.7</v>
      </c>
    </row>
    <row r="29" spans="1:12" x14ac:dyDescent="0.3">
      <c r="K29" s="91">
        <f>22+14.5+3.2+14.5+3.2+27</f>
        <v>84.4</v>
      </c>
      <c r="L29" s="91">
        <f>+SUM(L10:L26)</f>
        <v>287.09999999999997</v>
      </c>
    </row>
    <row r="30" spans="1:12" x14ac:dyDescent="0.3">
      <c r="L30" s="91">
        <f>+SUM(K29:L29)</f>
        <v>371.5</v>
      </c>
    </row>
    <row r="31" spans="1:12" x14ac:dyDescent="0.3">
      <c r="L31" s="91">
        <f>+L30*0.1</f>
        <v>37.15</v>
      </c>
    </row>
    <row r="32" spans="1:12" x14ac:dyDescent="0.3">
      <c r="I32" s="91">
        <f>+SUM(I10:I27)</f>
        <v>360.8</v>
      </c>
      <c r="L32" s="91">
        <f>+I32+L31</f>
        <v>397.95</v>
      </c>
    </row>
  </sheetData>
  <sheetProtection algorithmName="SHA-512" hashValue="fh3XucsdYPWKFbug/fvLhk7w//RBmAcvZVlL0NhxepimtC9ROP3k2lu37p0M5xxPsgZwS5QR5ytoMlHkcs01Bg==" saltValue="FpIds6PwSE7BnNkJNxgaJ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58"/>
  <sheetViews>
    <sheetView view="pageBreakPreview" zoomScale="85" zoomScaleNormal="100" zoomScaleSheetLayoutView="85" workbookViewId="0">
      <selection activeCell="B17" sqref="B17"/>
    </sheetView>
  </sheetViews>
  <sheetFormatPr defaultRowHeight="14.4" x14ac:dyDescent="0.3"/>
  <cols>
    <col min="1" max="1" width="3.6640625" style="98" customWidth="1"/>
    <col min="2" max="2" width="42" style="4" customWidth="1"/>
    <col min="3" max="3" width="7.5546875" bestFit="1" customWidth="1"/>
    <col min="4" max="4" width="9.109375" style="61" bestFit="1" customWidth="1"/>
    <col min="5" max="5" width="12.44140625" style="61" customWidth="1"/>
    <col min="6" max="6" width="12.109375" style="61" customWidth="1"/>
  </cols>
  <sheetData>
    <row r="1" spans="1:11" x14ac:dyDescent="0.3">
      <c r="A1" s="147" t="s">
        <v>18</v>
      </c>
      <c r="B1" s="147"/>
      <c r="C1" s="6" t="s">
        <v>1</v>
      </c>
      <c r="D1" s="64" t="s">
        <v>2</v>
      </c>
      <c r="E1" s="64" t="s">
        <v>4</v>
      </c>
      <c r="F1" s="64" t="s">
        <v>11</v>
      </c>
    </row>
    <row r="2" spans="1:11" x14ac:dyDescent="0.3">
      <c r="B2" s="2"/>
    </row>
    <row r="3" spans="1:11" x14ac:dyDescent="0.3">
      <c r="B3" s="77" t="s">
        <v>5</v>
      </c>
    </row>
    <row r="4" spans="1:11" x14ac:dyDescent="0.3">
      <c r="B4" s="77"/>
    </row>
    <row r="5" spans="1:11" ht="28.8" x14ac:dyDescent="0.3">
      <c r="B5" s="7" t="s">
        <v>20</v>
      </c>
    </row>
    <row r="6" spans="1:11" x14ac:dyDescent="0.3">
      <c r="B6" s="77"/>
    </row>
    <row r="7" spans="1:11" ht="228" customHeight="1" x14ac:dyDescent="0.3">
      <c r="B7" s="77" t="s">
        <v>17</v>
      </c>
    </row>
    <row r="8" spans="1:11" ht="33.6" customHeight="1" x14ac:dyDescent="0.3">
      <c r="A8" s="98">
        <v>1</v>
      </c>
      <c r="B8" s="144" t="s">
        <v>317</v>
      </c>
      <c r="C8" t="s">
        <v>9</v>
      </c>
      <c r="D8" s="61">
        <v>88.6</v>
      </c>
      <c r="E8" s="84"/>
      <c r="F8" s="61">
        <f>D8*E8</f>
        <v>0</v>
      </c>
    </row>
    <row r="9" spans="1:11" ht="187.2" customHeight="1" x14ac:dyDescent="0.3">
      <c r="A9" s="34">
        <v>2</v>
      </c>
      <c r="B9" s="44" t="s">
        <v>134</v>
      </c>
      <c r="C9" s="78" t="s">
        <v>10</v>
      </c>
      <c r="D9" s="75">
        <v>25</v>
      </c>
      <c r="E9" s="84"/>
      <c r="F9" s="65">
        <f>D9*E9</f>
        <v>0</v>
      </c>
    </row>
    <row r="10" spans="1:11" ht="158.4" x14ac:dyDescent="0.3">
      <c r="A10" s="34">
        <v>3</v>
      </c>
      <c r="B10" s="44" t="s">
        <v>251</v>
      </c>
      <c r="C10" s="78" t="s">
        <v>10</v>
      </c>
      <c r="D10" s="111">
        <v>7</v>
      </c>
      <c r="E10" s="84"/>
      <c r="F10" s="65">
        <f>D10*E10</f>
        <v>0</v>
      </c>
    </row>
    <row r="11" spans="1:11" ht="159" customHeight="1" x14ac:dyDescent="0.3">
      <c r="A11" s="34">
        <v>4</v>
      </c>
      <c r="B11" s="77" t="s">
        <v>248</v>
      </c>
      <c r="C11" s="78" t="s">
        <v>8</v>
      </c>
      <c r="D11" s="75">
        <v>15</v>
      </c>
      <c r="E11" s="84"/>
      <c r="F11" s="65">
        <f>D11*E11</f>
        <v>0</v>
      </c>
      <c r="I11" s="142" t="s">
        <v>309</v>
      </c>
      <c r="J11" s="142"/>
      <c r="K11" s="142"/>
    </row>
    <row r="12" spans="1:11" ht="388.8" customHeight="1" x14ac:dyDescent="0.3">
      <c r="A12" s="158">
        <v>5</v>
      </c>
      <c r="B12" s="159" t="s">
        <v>225</v>
      </c>
      <c r="C12" s="155" t="s">
        <v>10</v>
      </c>
      <c r="D12" s="156">
        <v>4</v>
      </c>
      <c r="E12" s="157"/>
      <c r="F12" s="154">
        <f>+E12*D12</f>
        <v>0</v>
      </c>
    </row>
    <row r="13" spans="1:11" ht="1.2" customHeight="1" x14ac:dyDescent="0.3">
      <c r="A13" s="158"/>
      <c r="B13" s="159"/>
      <c r="C13" s="155"/>
      <c r="D13" s="156"/>
      <c r="E13" s="157"/>
      <c r="F13" s="154"/>
    </row>
    <row r="14" spans="1:11" ht="55.2" customHeight="1" x14ac:dyDescent="0.3">
      <c r="A14" s="158"/>
      <c r="B14" s="99" t="s">
        <v>220</v>
      </c>
      <c r="C14" s="155"/>
      <c r="D14" s="156"/>
      <c r="E14" s="157"/>
      <c r="F14" s="154"/>
    </row>
    <row r="15" spans="1:11" ht="132.6" customHeight="1" x14ac:dyDescent="0.3">
      <c r="A15" s="158"/>
      <c r="B15" s="89" t="s">
        <v>226</v>
      </c>
      <c r="C15" s="155"/>
      <c r="D15" s="156"/>
      <c r="E15" s="157"/>
      <c r="F15" s="154"/>
    </row>
    <row r="16" spans="1:11" ht="28.8" x14ac:dyDescent="0.3">
      <c r="A16" s="158"/>
      <c r="B16" s="99" t="s">
        <v>221</v>
      </c>
      <c r="C16" s="155"/>
      <c r="D16" s="156"/>
      <c r="E16" s="157"/>
      <c r="F16" s="154"/>
    </row>
    <row r="17" spans="1:6" x14ac:dyDescent="0.3">
      <c r="A17" s="158"/>
      <c r="B17" s="99" t="s">
        <v>222</v>
      </c>
      <c r="C17" s="155"/>
      <c r="D17" s="156"/>
      <c r="E17" s="157"/>
      <c r="F17" s="154"/>
    </row>
    <row r="18" spans="1:6" ht="38.25" customHeight="1" x14ac:dyDescent="0.3">
      <c r="A18" s="158"/>
      <c r="B18" s="99" t="s">
        <v>223</v>
      </c>
      <c r="C18" s="155"/>
      <c r="D18" s="156"/>
      <c r="E18" s="157"/>
      <c r="F18" s="154"/>
    </row>
    <row r="19" spans="1:6" ht="57.6" x14ac:dyDescent="0.3">
      <c r="A19" s="158"/>
      <c r="B19" s="99" t="s">
        <v>224</v>
      </c>
      <c r="C19" s="155"/>
      <c r="D19" s="156"/>
      <c r="E19" s="157"/>
      <c r="F19" s="154"/>
    </row>
    <row r="20" spans="1:6" ht="86.4" x14ac:dyDescent="0.3">
      <c r="A20" s="158"/>
      <c r="B20" s="99" t="s">
        <v>227</v>
      </c>
      <c r="C20" s="155"/>
      <c r="D20" s="156"/>
      <c r="E20" s="157"/>
      <c r="F20" s="154"/>
    </row>
    <row r="21" spans="1:6" ht="394.2" customHeight="1" x14ac:dyDescent="0.3">
      <c r="A21" s="150">
        <v>6</v>
      </c>
      <c r="B21" s="44" t="s">
        <v>263</v>
      </c>
      <c r="C21" s="155" t="s">
        <v>8</v>
      </c>
      <c r="D21" s="156">
        <v>3</v>
      </c>
      <c r="E21" s="157"/>
      <c r="F21" s="154">
        <f>D21*E21</f>
        <v>0</v>
      </c>
    </row>
    <row r="22" spans="1:6" ht="14.4" customHeight="1" x14ac:dyDescent="0.3">
      <c r="A22" s="150"/>
      <c r="B22" s="99" t="s">
        <v>264</v>
      </c>
      <c r="C22" s="155"/>
      <c r="D22" s="156"/>
      <c r="E22" s="157"/>
      <c r="F22" s="154"/>
    </row>
    <row r="23" spans="1:6" ht="14.4" customHeight="1" x14ac:dyDescent="0.3">
      <c r="A23" s="150"/>
      <c r="B23" s="99" t="s">
        <v>266</v>
      </c>
      <c r="C23" s="155"/>
      <c r="D23" s="156"/>
      <c r="E23" s="157"/>
      <c r="F23" s="154"/>
    </row>
    <row r="24" spans="1:6" x14ac:dyDescent="0.3">
      <c r="A24" s="150"/>
      <c r="B24" s="99" t="s">
        <v>267</v>
      </c>
      <c r="C24" s="155"/>
      <c r="D24" s="156"/>
      <c r="E24" s="157"/>
      <c r="F24" s="154"/>
    </row>
    <row r="25" spans="1:6" x14ac:dyDescent="0.3">
      <c r="A25" s="150"/>
      <c r="B25" s="99"/>
      <c r="C25" s="155"/>
      <c r="D25" s="156"/>
      <c r="E25" s="157"/>
      <c r="F25" s="154"/>
    </row>
    <row r="26" spans="1:6" ht="40.799999999999997" customHeight="1" x14ac:dyDescent="0.3">
      <c r="A26" s="150"/>
      <c r="B26" s="44" t="s">
        <v>265</v>
      </c>
      <c r="C26" s="155"/>
      <c r="D26" s="156"/>
      <c r="E26" s="157"/>
      <c r="F26" s="154"/>
    </row>
    <row r="27" spans="1:6" x14ac:dyDescent="0.3">
      <c r="A27" s="150"/>
      <c r="B27" s="115"/>
      <c r="C27" s="155"/>
      <c r="D27" s="156"/>
      <c r="E27" s="157"/>
      <c r="F27" s="154"/>
    </row>
    <row r="28" spans="1:6" ht="14.4" customHeight="1" x14ac:dyDescent="0.3">
      <c r="A28" s="150"/>
      <c r="B28" s="99" t="s">
        <v>268</v>
      </c>
      <c r="C28" s="155"/>
      <c r="D28" s="156"/>
      <c r="E28" s="157"/>
      <c r="F28" s="154"/>
    </row>
    <row r="29" spans="1:6" x14ac:dyDescent="0.3">
      <c r="A29" s="150"/>
      <c r="B29" s="99" t="s">
        <v>269</v>
      </c>
      <c r="C29" s="155"/>
      <c r="D29" s="156"/>
      <c r="E29" s="157"/>
      <c r="F29" s="154"/>
    </row>
    <row r="30" spans="1:6" x14ac:dyDescent="0.3">
      <c r="A30" s="150"/>
      <c r="B30" s="99" t="s">
        <v>270</v>
      </c>
      <c r="C30" s="155"/>
      <c r="D30" s="156"/>
      <c r="E30" s="157"/>
      <c r="F30" s="154"/>
    </row>
    <row r="31" spans="1:6" ht="356.4" customHeight="1" x14ac:dyDescent="0.3">
      <c r="A31" s="150">
        <v>7</v>
      </c>
      <c r="B31" s="118" t="s">
        <v>279</v>
      </c>
      <c r="C31" s="155" t="s">
        <v>8</v>
      </c>
      <c r="D31" s="156">
        <v>2</v>
      </c>
      <c r="E31" s="157"/>
      <c r="F31" s="154">
        <f>D31*E31</f>
        <v>0</v>
      </c>
    </row>
    <row r="32" spans="1:6" x14ac:dyDescent="0.3">
      <c r="A32" s="150"/>
      <c r="B32" s="119" t="s">
        <v>271</v>
      </c>
      <c r="C32" s="155"/>
      <c r="D32" s="156"/>
      <c r="E32" s="157"/>
      <c r="F32" s="154"/>
    </row>
    <row r="33" spans="1:6" ht="43.2" x14ac:dyDescent="0.3">
      <c r="A33" s="150"/>
      <c r="B33" s="116" t="s">
        <v>272</v>
      </c>
      <c r="C33" s="155"/>
      <c r="D33" s="156"/>
      <c r="E33" s="157"/>
      <c r="F33" s="154"/>
    </row>
    <row r="34" spans="1:6" ht="100.8" x14ac:dyDescent="0.3">
      <c r="A34" s="150"/>
      <c r="B34" s="117" t="s">
        <v>273</v>
      </c>
      <c r="C34" s="155"/>
      <c r="D34" s="156"/>
      <c r="E34" s="157"/>
      <c r="F34" s="154"/>
    </row>
    <row r="35" spans="1:6" ht="86.4" x14ac:dyDescent="0.3">
      <c r="A35" s="150"/>
      <c r="B35" s="117" t="s">
        <v>274</v>
      </c>
      <c r="C35" s="155"/>
      <c r="D35" s="156"/>
      <c r="E35" s="157"/>
      <c r="F35" s="154"/>
    </row>
    <row r="36" spans="1:6" x14ac:dyDescent="0.3">
      <c r="A36" s="150"/>
      <c r="B36" s="99" t="s">
        <v>264</v>
      </c>
      <c r="C36" s="155"/>
      <c r="D36" s="156"/>
      <c r="E36" s="157"/>
      <c r="F36" s="154"/>
    </row>
    <row r="37" spans="1:6" x14ac:dyDescent="0.3">
      <c r="A37" s="150"/>
      <c r="B37" s="99" t="s">
        <v>275</v>
      </c>
      <c r="C37" s="155"/>
      <c r="D37" s="156"/>
      <c r="E37" s="157"/>
      <c r="F37" s="154"/>
    </row>
    <row r="38" spans="1:6" x14ac:dyDescent="0.3">
      <c r="A38" s="150"/>
      <c r="B38" s="99" t="s">
        <v>276</v>
      </c>
      <c r="C38" s="155"/>
      <c r="D38" s="156"/>
      <c r="E38" s="157"/>
      <c r="F38" s="154"/>
    </row>
    <row r="39" spans="1:6" x14ac:dyDescent="0.3">
      <c r="A39" s="150"/>
      <c r="B39" s="99" t="s">
        <v>277</v>
      </c>
      <c r="C39" s="155"/>
      <c r="D39" s="156"/>
      <c r="E39" s="157"/>
      <c r="F39" s="154"/>
    </row>
    <row r="40" spans="1:6" x14ac:dyDescent="0.3">
      <c r="A40" s="150"/>
      <c r="B40" s="99" t="s">
        <v>278</v>
      </c>
      <c r="C40" s="155"/>
      <c r="D40" s="156"/>
      <c r="E40" s="157"/>
      <c r="F40" s="154"/>
    </row>
    <row r="41" spans="1:6" x14ac:dyDescent="0.3">
      <c r="A41" s="150"/>
      <c r="B41" s="99" t="s">
        <v>269</v>
      </c>
      <c r="C41" s="155"/>
      <c r="D41" s="156"/>
      <c r="E41" s="157"/>
      <c r="F41" s="154"/>
    </row>
    <row r="42" spans="1:6" x14ac:dyDescent="0.3">
      <c r="A42" s="150"/>
      <c r="B42" s="99" t="s">
        <v>270</v>
      </c>
      <c r="C42" s="155"/>
      <c r="D42" s="156"/>
      <c r="E42" s="157"/>
      <c r="F42" s="154"/>
    </row>
    <row r="43" spans="1:6" ht="86.4" x14ac:dyDescent="0.3">
      <c r="A43" s="47">
        <v>8</v>
      </c>
      <c r="B43" s="4" t="s">
        <v>249</v>
      </c>
      <c r="C43" t="s">
        <v>32</v>
      </c>
      <c r="D43" s="66">
        <v>750</v>
      </c>
      <c r="E43" s="85"/>
      <c r="F43" s="65">
        <f>D43*E43</f>
        <v>0</v>
      </c>
    </row>
    <row r="44" spans="1:6" ht="57.6" x14ac:dyDescent="0.3">
      <c r="A44" s="47">
        <v>9</v>
      </c>
      <c r="B44" s="14" t="s">
        <v>144</v>
      </c>
      <c r="C44" t="s">
        <v>32</v>
      </c>
      <c r="D44" s="61">
        <v>135</v>
      </c>
      <c r="E44" s="85"/>
      <c r="F44" s="65">
        <f>D44*E44</f>
        <v>0</v>
      </c>
    </row>
    <row r="45" spans="1:6" ht="28.8" x14ac:dyDescent="0.3">
      <c r="A45" s="150">
        <v>10</v>
      </c>
      <c r="B45" s="14" t="s">
        <v>310</v>
      </c>
      <c r="C45" s="151" t="s">
        <v>8</v>
      </c>
      <c r="D45" s="152">
        <v>1</v>
      </c>
      <c r="E45" s="153"/>
      <c r="F45" s="154">
        <f>D45*E45</f>
        <v>0</v>
      </c>
    </row>
    <row r="46" spans="1:6" ht="115.2" x14ac:dyDescent="0.3">
      <c r="A46" s="150"/>
      <c r="B46" s="14" t="s">
        <v>311</v>
      </c>
      <c r="C46" s="151"/>
      <c r="D46" s="152"/>
      <c r="E46" s="153"/>
      <c r="F46" s="154"/>
    </row>
    <row r="47" spans="1:6" ht="28.8" x14ac:dyDescent="0.3">
      <c r="A47" s="150">
        <v>11</v>
      </c>
      <c r="B47" s="14" t="s">
        <v>310</v>
      </c>
      <c r="C47" s="151" t="s">
        <v>8</v>
      </c>
      <c r="D47" s="152">
        <v>1</v>
      </c>
      <c r="E47" s="153"/>
      <c r="F47" s="154">
        <f>D47*E47</f>
        <v>0</v>
      </c>
    </row>
    <row r="48" spans="1:6" ht="115.2" x14ac:dyDescent="0.3">
      <c r="A48" s="150"/>
      <c r="B48" s="14" t="s">
        <v>314</v>
      </c>
      <c r="C48" s="151"/>
      <c r="D48" s="152"/>
      <c r="E48" s="153"/>
      <c r="F48" s="154"/>
    </row>
    <row r="49" spans="1:6" ht="39" customHeight="1" x14ac:dyDescent="0.3">
      <c r="A49" s="150">
        <v>12</v>
      </c>
      <c r="B49" s="14" t="s">
        <v>312</v>
      </c>
      <c r="C49" s="151" t="s">
        <v>8</v>
      </c>
      <c r="D49" s="152">
        <v>1</v>
      </c>
      <c r="E49" s="153"/>
      <c r="F49" s="154">
        <f>D49*E49</f>
        <v>0</v>
      </c>
    </row>
    <row r="50" spans="1:6" ht="230.4" x14ac:dyDescent="0.3">
      <c r="A50" s="150"/>
      <c r="B50" s="14" t="s">
        <v>313</v>
      </c>
      <c r="C50" s="151"/>
      <c r="D50" s="152"/>
      <c r="E50" s="153"/>
      <c r="F50" s="154"/>
    </row>
    <row r="51" spans="1:6" ht="15" customHeight="1" x14ac:dyDescent="0.3">
      <c r="A51" s="133"/>
      <c r="B51" s="143"/>
      <c r="C51" s="138"/>
      <c r="D51" s="139"/>
      <c r="E51" s="135"/>
      <c r="F51" s="65"/>
    </row>
    <row r="52" spans="1:6" ht="39" customHeight="1" x14ac:dyDescent="0.3">
      <c r="A52" s="150">
        <v>13</v>
      </c>
      <c r="B52" s="14" t="s">
        <v>312</v>
      </c>
      <c r="C52" s="151" t="s">
        <v>8</v>
      </c>
      <c r="D52" s="152">
        <v>1</v>
      </c>
      <c r="E52" s="153"/>
      <c r="F52" s="154">
        <f>D52*E52</f>
        <v>0</v>
      </c>
    </row>
    <row r="53" spans="1:6" ht="230.4" x14ac:dyDescent="0.3">
      <c r="A53" s="150"/>
      <c r="B53" s="14" t="s">
        <v>315</v>
      </c>
      <c r="C53" s="151"/>
      <c r="D53" s="152"/>
      <c r="E53" s="153"/>
      <c r="F53" s="154"/>
    </row>
    <row r="54" spans="1:6" x14ac:dyDescent="0.3">
      <c r="A54" s="133"/>
      <c r="B54" s="143"/>
      <c r="C54" s="138"/>
      <c r="D54" s="139"/>
      <c r="E54" s="135"/>
      <c r="F54" s="65"/>
    </row>
    <row r="55" spans="1:6" ht="100.8" x14ac:dyDescent="0.3">
      <c r="A55" s="47">
        <v>14</v>
      </c>
      <c r="B55" s="14" t="s">
        <v>250</v>
      </c>
      <c r="C55" t="s">
        <v>32</v>
      </c>
      <c r="D55" s="61">
        <v>53</v>
      </c>
      <c r="E55" s="85"/>
      <c r="F55" s="65">
        <f>D55*E55</f>
        <v>0</v>
      </c>
    </row>
    <row r="56" spans="1:6" ht="43.2" x14ac:dyDescent="0.3">
      <c r="A56" s="47">
        <v>15</v>
      </c>
      <c r="B56" s="4" t="s">
        <v>145</v>
      </c>
      <c r="C56" t="s">
        <v>8</v>
      </c>
      <c r="D56" s="61">
        <v>1</v>
      </c>
      <c r="E56" s="85"/>
      <c r="F56" s="65">
        <f>D56*E56</f>
        <v>0</v>
      </c>
    </row>
    <row r="57" spans="1:6" ht="15" thickBot="1" x14ac:dyDescent="0.35">
      <c r="A57" s="97"/>
      <c r="B57" s="21"/>
      <c r="C57" s="22"/>
      <c r="D57" s="67"/>
      <c r="E57" s="68"/>
      <c r="F57" s="68"/>
    </row>
    <row r="58" spans="1:6" ht="15" thickTop="1" x14ac:dyDescent="0.3">
      <c r="B58" s="26" t="s">
        <v>146</v>
      </c>
      <c r="C58" s="76"/>
      <c r="D58" s="73"/>
      <c r="F58" s="63">
        <f>+SUM(F6:F56)</f>
        <v>0</v>
      </c>
    </row>
  </sheetData>
  <sheetProtection algorithmName="SHA-512" hashValue="fXsIidLt7EN4CeQFURNIV9PwriyOCG0HgDXIzrd6QOZa0PLt6wsPsB/UC2ueDBnzo/RLq9zFL6so6SEISkPszg==" saltValue="U4oFmQHXp14FqXOT0/WQAQ==" spinCount="100000" sheet="1"/>
  <mergeCells count="37">
    <mergeCell ref="D12:D20"/>
    <mergeCell ref="E12:E20"/>
    <mergeCell ref="F12:F20"/>
    <mergeCell ref="A1:B1"/>
    <mergeCell ref="C12:C20"/>
    <mergeCell ref="A12:A20"/>
    <mergeCell ref="B12:B13"/>
    <mergeCell ref="F31:F42"/>
    <mergeCell ref="C21:C30"/>
    <mergeCell ref="D21:D30"/>
    <mergeCell ref="E21:E30"/>
    <mergeCell ref="F21:F30"/>
    <mergeCell ref="A31:A42"/>
    <mergeCell ref="A21:A30"/>
    <mergeCell ref="C31:C42"/>
    <mergeCell ref="D31:D42"/>
    <mergeCell ref="E31:E42"/>
    <mergeCell ref="A45:A46"/>
    <mergeCell ref="C45:C46"/>
    <mergeCell ref="D45:D46"/>
    <mergeCell ref="E45:E46"/>
    <mergeCell ref="F45:F46"/>
    <mergeCell ref="A49:A50"/>
    <mergeCell ref="C49:C50"/>
    <mergeCell ref="D49:D50"/>
    <mergeCell ref="F49:F50"/>
    <mergeCell ref="E49:E50"/>
    <mergeCell ref="A47:A48"/>
    <mergeCell ref="C47:C48"/>
    <mergeCell ref="D47:D48"/>
    <mergeCell ref="E47:E48"/>
    <mergeCell ref="F47:F48"/>
    <mergeCell ref="A52:A53"/>
    <mergeCell ref="C52:C53"/>
    <mergeCell ref="D52:D53"/>
    <mergeCell ref="E52:E53"/>
    <mergeCell ref="F52:F53"/>
  </mergeCells>
  <pageMargins left="0.7" right="0.7" top="0.75" bottom="0.75" header="0.3" footer="0.3"/>
  <pageSetup paperSize="9" orientation="portrait" horizontalDpi="4294967294"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3"/>
  <sheetViews>
    <sheetView view="pageBreakPreview" zoomScale="70" zoomScaleNormal="100" zoomScaleSheetLayoutView="70" workbookViewId="0">
      <selection activeCell="E9" sqref="E9"/>
    </sheetView>
  </sheetViews>
  <sheetFormatPr defaultRowHeight="14.4" x14ac:dyDescent="0.3"/>
  <cols>
    <col min="1" max="1" width="4.6640625" style="76" customWidth="1"/>
    <col min="2" max="2" width="42" style="4" customWidth="1"/>
    <col min="3" max="3" width="7.5546875" bestFit="1" customWidth="1"/>
    <col min="4" max="4" width="9.109375" style="61"/>
    <col min="5" max="5" width="12.44140625" style="61" bestFit="1" customWidth="1"/>
    <col min="6" max="6" width="11.44140625" style="61" customWidth="1"/>
  </cols>
  <sheetData>
    <row r="1" spans="1:6" ht="15" customHeight="1" x14ac:dyDescent="0.3">
      <c r="A1" s="147" t="s">
        <v>19</v>
      </c>
      <c r="B1" s="147"/>
      <c r="C1" s="6" t="s">
        <v>1</v>
      </c>
      <c r="D1" s="64" t="s">
        <v>2</v>
      </c>
      <c r="E1" s="64" t="s">
        <v>4</v>
      </c>
      <c r="F1" s="64" t="s">
        <v>11</v>
      </c>
    </row>
    <row r="3" spans="1:6" x14ac:dyDescent="0.3">
      <c r="B3" s="7" t="s">
        <v>5</v>
      </c>
    </row>
    <row r="4" spans="1:6" x14ac:dyDescent="0.3">
      <c r="B4" s="8"/>
    </row>
    <row r="5" spans="1:6" ht="28.8" x14ac:dyDescent="0.3">
      <c r="B5" s="7" t="s">
        <v>297</v>
      </c>
    </row>
    <row r="7" spans="1:6" ht="259.2" x14ac:dyDescent="0.3">
      <c r="B7" s="54" t="s">
        <v>21</v>
      </c>
    </row>
    <row r="8" spans="1:6" x14ac:dyDescent="0.3">
      <c r="B8" s="77"/>
    </row>
    <row r="9" spans="1:6" ht="163.5" customHeight="1" x14ac:dyDescent="0.3">
      <c r="A9" s="86">
        <v>1</v>
      </c>
      <c r="B9" s="79" t="s">
        <v>230</v>
      </c>
      <c r="C9" t="s">
        <v>9</v>
      </c>
      <c r="D9" s="61">
        <v>11.5</v>
      </c>
      <c r="E9" s="85"/>
      <c r="F9" s="61">
        <f>+E9*D9</f>
        <v>0</v>
      </c>
    </row>
    <row r="10" spans="1:6" ht="172.8" x14ac:dyDescent="0.3">
      <c r="A10" s="86">
        <v>2</v>
      </c>
      <c r="B10" s="79" t="s">
        <v>156</v>
      </c>
      <c r="C10" t="s">
        <v>9</v>
      </c>
      <c r="D10" s="61">
        <v>270</v>
      </c>
      <c r="E10" s="85"/>
      <c r="F10" s="61">
        <f t="shared" ref="F10:F21" si="0">+E10*D10</f>
        <v>0</v>
      </c>
    </row>
    <row r="11" spans="1:6" ht="144" x14ac:dyDescent="0.3">
      <c r="A11" s="86">
        <v>3</v>
      </c>
      <c r="B11" s="79" t="s">
        <v>280</v>
      </c>
      <c r="C11" t="s">
        <v>9</v>
      </c>
      <c r="D11" s="61">
        <v>40</v>
      </c>
      <c r="E11" s="85"/>
      <c r="F11" s="61">
        <f t="shared" si="0"/>
        <v>0</v>
      </c>
    </row>
    <row r="12" spans="1:6" ht="100.8" x14ac:dyDescent="0.3">
      <c r="A12" s="86">
        <v>4</v>
      </c>
      <c r="B12" s="79" t="s">
        <v>282</v>
      </c>
      <c r="C12" t="s">
        <v>10</v>
      </c>
      <c r="D12" s="61">
        <v>24</v>
      </c>
      <c r="E12" s="85"/>
      <c r="F12" s="61">
        <f t="shared" si="0"/>
        <v>0</v>
      </c>
    </row>
    <row r="13" spans="1:6" ht="133.5" customHeight="1" x14ac:dyDescent="0.3">
      <c r="A13" s="86">
        <v>5</v>
      </c>
      <c r="B13" s="14" t="s">
        <v>157</v>
      </c>
      <c r="C13" t="s">
        <v>9</v>
      </c>
      <c r="D13" s="61">
        <v>600</v>
      </c>
      <c r="E13" s="85"/>
      <c r="F13" s="61">
        <f t="shared" si="0"/>
        <v>0</v>
      </c>
    </row>
    <row r="14" spans="1:6" ht="144" customHeight="1" x14ac:dyDescent="0.3">
      <c r="A14" s="86">
        <v>6</v>
      </c>
      <c r="B14" s="14" t="s">
        <v>281</v>
      </c>
      <c r="C14" t="s">
        <v>9</v>
      </c>
      <c r="D14" s="61">
        <v>115</v>
      </c>
      <c r="E14" s="85"/>
      <c r="F14" s="61">
        <f t="shared" si="0"/>
        <v>0</v>
      </c>
    </row>
    <row r="15" spans="1:6" ht="57.6" x14ac:dyDescent="0.3">
      <c r="A15" s="86">
        <v>7</v>
      </c>
      <c r="B15" s="14" t="s">
        <v>285</v>
      </c>
      <c r="C15" t="s">
        <v>8</v>
      </c>
      <c r="D15" s="61">
        <v>16</v>
      </c>
      <c r="E15" s="85"/>
      <c r="F15" s="61">
        <f t="shared" si="0"/>
        <v>0</v>
      </c>
    </row>
    <row r="16" spans="1:6" ht="43.2" x14ac:dyDescent="0.3">
      <c r="A16" s="86">
        <v>8</v>
      </c>
      <c r="B16" s="14" t="s">
        <v>284</v>
      </c>
      <c r="C16" t="s">
        <v>9</v>
      </c>
      <c r="D16" s="61">
        <v>60</v>
      </c>
      <c r="E16" s="85"/>
      <c r="F16" s="61">
        <f t="shared" si="0"/>
        <v>0</v>
      </c>
    </row>
    <row r="17" spans="1:6" ht="57.6" x14ac:dyDescent="0.3">
      <c r="A17" s="86">
        <v>9</v>
      </c>
      <c r="B17" s="14" t="s">
        <v>286</v>
      </c>
      <c r="C17" t="s">
        <v>8</v>
      </c>
      <c r="D17" s="61">
        <v>19</v>
      </c>
      <c r="E17" s="85"/>
      <c r="F17" s="61">
        <f t="shared" si="0"/>
        <v>0</v>
      </c>
    </row>
    <row r="18" spans="1:6" ht="115.2" x14ac:dyDescent="0.3">
      <c r="A18" s="86">
        <v>10</v>
      </c>
      <c r="B18" s="14" t="s">
        <v>287</v>
      </c>
      <c r="C18" t="s">
        <v>32</v>
      </c>
      <c r="D18" s="61">
        <v>150</v>
      </c>
      <c r="E18" s="85"/>
      <c r="F18" s="61">
        <f t="shared" si="0"/>
        <v>0</v>
      </c>
    </row>
    <row r="19" spans="1:6" ht="28.8" x14ac:dyDescent="0.3">
      <c r="A19" s="86">
        <v>11</v>
      </c>
      <c r="B19" s="14" t="s">
        <v>283</v>
      </c>
      <c r="C19" t="s">
        <v>32</v>
      </c>
      <c r="D19" s="61">
        <v>300</v>
      </c>
      <c r="E19" s="85"/>
      <c r="F19" s="61">
        <f t="shared" si="0"/>
        <v>0</v>
      </c>
    </row>
    <row r="20" spans="1:6" ht="28.8" x14ac:dyDescent="0.3">
      <c r="A20" s="86">
        <v>12</v>
      </c>
      <c r="B20" s="4" t="s">
        <v>158</v>
      </c>
      <c r="C20" s="35" t="s">
        <v>32</v>
      </c>
      <c r="D20" s="66">
        <v>70</v>
      </c>
      <c r="E20" s="85"/>
      <c r="F20" s="61">
        <f t="shared" si="0"/>
        <v>0</v>
      </c>
    </row>
    <row r="21" spans="1:6" ht="100.8" x14ac:dyDescent="0.3">
      <c r="A21" s="86">
        <v>13</v>
      </c>
      <c r="B21" s="14" t="s">
        <v>316</v>
      </c>
      <c r="C21" t="s">
        <v>9</v>
      </c>
      <c r="D21" s="61">
        <v>100</v>
      </c>
      <c r="E21" s="85"/>
      <c r="F21" s="61">
        <f t="shared" si="0"/>
        <v>0</v>
      </c>
    </row>
    <row r="22" spans="1:6" ht="15" thickBot="1" x14ac:dyDescent="0.35">
      <c r="A22" s="22"/>
      <c r="B22" s="50"/>
      <c r="C22" s="22"/>
      <c r="D22" s="67"/>
      <c r="E22" s="68"/>
      <c r="F22" s="68"/>
    </row>
    <row r="23" spans="1:6" ht="15" thickTop="1" x14ac:dyDescent="0.3">
      <c r="B23" s="26" t="s">
        <v>159</v>
      </c>
      <c r="C23" s="76"/>
      <c r="D23" s="73"/>
      <c r="F23" s="63">
        <f>+SUM(F9:F21)</f>
        <v>0</v>
      </c>
    </row>
  </sheetData>
  <sheetProtection algorithmName="SHA-512" hashValue="nAOtmmqOOWEUx/QoBSTeJwZrhf6PV6CQXmS/OTpqYQh/bwwK1rGjRVoBITDwUYVJb7vYcK2d6dmIRzaZj6DHOA==" saltValue="925NSAmQ5Y74CProdHYn5Q==" spinCount="100000" sheet="1" objects="1" scenarios="1" selectLockedCells="1"/>
  <mergeCells count="1">
    <mergeCell ref="A1:B1"/>
  </mergeCells>
  <pageMargins left="0.7" right="0.7" top="0.75" bottom="0.75" header="0.3" footer="0.3"/>
  <pageSetup paperSize="9" orientation="portrait"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Q32" sqref="Q32"/>
    </sheetView>
  </sheetViews>
  <sheetFormatPr defaultRowHeight="14.4" x14ac:dyDescent="0.3"/>
  <cols>
    <col min="6" max="6" width="15.33203125" bestFit="1" customWidth="1"/>
  </cols>
  <sheetData/>
  <sheetProtection algorithmName="SHA-512" hashValue="XJTSptkPIm3kkXfxLHX1Mu7sVTf6GN81ekWCExOgxk7K42S4IqI5YwG//JnPqjRr/a158UamzKt4xGsax9JcSA==" saltValue="ZmlhjiMqXN9EdVdoSTXNb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7724E74F360AB488DA6ACA1B6164DD0" ma:contentTypeVersion="9" ma:contentTypeDescription="Ustvari nov dokument." ma:contentTypeScope="" ma:versionID="3a005d5e33479970dd525e96ca8e5979">
  <xsd:schema xmlns:xsd="http://www.w3.org/2001/XMLSchema" xmlns:xs="http://www.w3.org/2001/XMLSchema" xmlns:p="http://schemas.microsoft.com/office/2006/metadata/properties" xmlns:ns3="eb987dbe-a4ba-48c9-a5d0-3bac0293bbab" targetNamespace="http://schemas.microsoft.com/office/2006/metadata/properties" ma:root="true" ma:fieldsID="a63a8975353e641824f278e1d47e8df6" ns3:_="">
    <xsd:import namespace="eb987dbe-a4ba-48c9-a5d0-3bac0293bba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987dbe-a4ba-48c9-a5d0-3bac0293b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C82212-E8E3-40F8-A830-E84CF64A6684}">
  <ds:schemaRefs>
    <ds:schemaRef ds:uri="http://schemas.microsoft.com/sharepoint/v3/contenttype/forms"/>
  </ds:schemaRefs>
</ds:datastoreItem>
</file>

<file path=customXml/itemProps2.xml><?xml version="1.0" encoding="utf-8"?>
<ds:datastoreItem xmlns:ds="http://schemas.openxmlformats.org/officeDocument/2006/customXml" ds:itemID="{8CF9F3D4-8BEE-48EC-9AE7-3EA0F57F7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987dbe-a4ba-48c9-a5d0-3bac0293bb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A30082-4B2A-4E06-B5A3-BF81F1EE6035}">
  <ds:schemaRefs>
    <ds:schemaRef ds:uri="http://purl.org/dc/dcmitype/"/>
    <ds:schemaRef ds:uri="http://schemas.microsoft.com/office/infopath/2007/PartnerControls"/>
    <ds:schemaRef ds:uri="http://purl.org/dc/terms/"/>
    <ds:schemaRef ds:uri="http://schemas.openxmlformats.org/package/2006/metadata/core-properties"/>
    <ds:schemaRef ds:uri="http://purl.org/dc/elements/1.1/"/>
    <ds:schemaRef ds:uri="http://schemas.microsoft.com/office/2006/documentManagement/types"/>
    <ds:schemaRef ds:uri="eb987dbe-a4ba-48c9-a5d0-3bac0293bba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19</vt:i4>
      </vt:variant>
      <vt:variant>
        <vt:lpstr>Imenovani obsegi</vt:lpstr>
      </vt:variant>
      <vt:variant>
        <vt:i4>1</vt:i4>
      </vt:variant>
    </vt:vector>
  </HeadingPairs>
  <TitlesOfParts>
    <vt:vector size="20" baseType="lpstr">
      <vt:lpstr>REKAPITULACIJA</vt:lpstr>
      <vt:lpstr>SPLOŠNO</vt:lpstr>
      <vt:lpstr>RUŠITVENA DELA</vt:lpstr>
      <vt:lpstr>Rupitvena dela izračuni</vt:lpstr>
      <vt:lpstr>ZIDARSKA DELA</vt:lpstr>
      <vt:lpstr>IZRACUNI ZIDARSKA</vt:lpstr>
      <vt:lpstr>STAVBNO POHIŠTVO</vt:lpstr>
      <vt:lpstr>SUHO MONTAŽNA DELA</vt:lpstr>
      <vt:lpstr>Suho izračuni</vt:lpstr>
      <vt:lpstr>STEKLARSKA DELA</vt:lpstr>
      <vt:lpstr>KERAMIČARSKA DELA</vt:lpstr>
      <vt:lpstr>izračuni keramika</vt:lpstr>
      <vt:lpstr>TLAKARSKA DELA</vt:lpstr>
      <vt:lpstr>izračun tlakarska</vt:lpstr>
      <vt:lpstr>slikoplesk izracuni</vt:lpstr>
      <vt:lpstr>SLIKOPLESKARSKA DELA</vt:lpstr>
      <vt:lpstr>Izracuni fasaderska dela</vt:lpstr>
      <vt:lpstr>DVIGALO</vt:lpstr>
      <vt:lpstr>RAZNO</vt:lpstr>
      <vt:lpstr>'STAVBNO POHIŠTVO'!Področje_tiskanja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2022-01-13T07:58:16Z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0x01010037724E74F360AB488DA6ACA1B6164DD0</vt:lpwstr>
  </property>
</Properties>
</file>